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chon\Desktop\"/>
    </mc:Choice>
  </mc:AlternateContent>
  <xr:revisionPtr revIDLastSave="0" documentId="8_{2AD6B3C8-DCFC-47E1-9B29-8BFF25CCF6B4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34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7" i="29" l="1"/>
  <c r="H37" i="29"/>
  <c r="I37" i="29"/>
  <c r="I36" i="29"/>
  <c r="I11" i="29"/>
  <c r="G11" i="29"/>
  <c r="H11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G12" i="8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G29" i="29"/>
  <c r="G36" i="29"/>
  <c r="I35" i="29"/>
  <c r="G35" i="29"/>
  <c r="I34" i="29"/>
  <c r="G34" i="29"/>
  <c r="I33" i="29"/>
  <c r="G33" i="29"/>
  <c r="I32" i="29"/>
  <c r="G32" i="29"/>
  <c r="I31" i="29"/>
  <c r="G31" i="29"/>
  <c r="I30" i="29"/>
  <c r="G30" i="29"/>
  <c r="I28" i="29"/>
  <c r="G28" i="29"/>
  <c r="I27" i="29"/>
  <c r="G27" i="29"/>
  <c r="I26" i="29"/>
  <c r="G26" i="29"/>
  <c r="I25" i="29"/>
  <c r="G25" i="29"/>
  <c r="I24" i="29"/>
  <c r="G24" i="29"/>
  <c r="I23" i="29"/>
  <c r="G23" i="29"/>
  <c r="I22" i="29"/>
  <c r="G22" i="29"/>
  <c r="I21" i="29"/>
  <c r="G21" i="29"/>
  <c r="I20" i="29"/>
  <c r="G20" i="29"/>
  <c r="I19" i="29"/>
  <c r="G19" i="29"/>
  <c r="I18" i="29"/>
  <c r="G18" i="29"/>
  <c r="I17" i="29"/>
  <c r="G17" i="29"/>
  <c r="I16" i="29"/>
  <c r="G16" i="29"/>
  <c r="I15" i="29"/>
  <c r="G15" i="29"/>
  <c r="I14" i="29"/>
  <c r="G14" i="29"/>
  <c r="I13" i="29"/>
  <c r="G13" i="29"/>
  <c r="I12" i="29"/>
  <c r="G12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<sst xmlns="http://schemas.openxmlformats.org/spreadsheetml/2006/main" count="149" uniqueCount="140">
  <si>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</si>
  <si>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</si>
  <si>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</si>
  <si>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</si>
  <si>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</si>
  <si>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</si>
  <si>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</si>
  <si>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</si>
  <si>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</si>
  <si>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</si>
  <si>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</si>
  <si>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</si>
  <si>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</si>
  <si>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</si>
  <si>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</si>
  <si>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</si>
  <si>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</si>
  <si>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</si>
  <si>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</si>
  <si>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</si>
  <si>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</si>
  <si>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</si>
  <si>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</si>
  <si>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</si>
  <si>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</si>
  <si>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</si>
  <si>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</si>
  <si>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</si>
  <si>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</si>
  <si>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</si>
  <si>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</si>
  <si>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</si>
  <si>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</si>
  <si>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</si>
  <si>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</si>
  <si>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</si>
  <si>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</si>
  <si>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</si>
  <si>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</si>
  <si>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</si>
  <si>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</si>
  <si>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</si>
  <si>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</si>
  <si>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</si>
  <si>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</si>
  <si>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</si>
  <si>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</si>
  <si>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</si>
  <si>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</si>
  <si>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</si>
  <si>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</si>
  <si>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</si>
  <si>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</si>
  <si>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</si>
  <si>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</si>
  <si>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</si>
  <si>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</si>
  <si>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</si>
  <si>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</si>
  <si>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</si>
  <si>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</si>
  <si>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</si>
  <si>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</si>
  <si>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</si>
  <si>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</si>
  <si>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</si>
  <si>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</si>
  <si>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</si>
  <si>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</si>
  <si>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</si>
  <si>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</si>
  <si>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</si>
  <si>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</si>
  <si>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</si>
  <si>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</si>
  <si>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</si>
  <si>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</si>
  <si>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</si>
  <si>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</si>
  <si>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</si>
  <si>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</si>
  <si>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</si>
  <si>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</si>
  <si>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</si>
  <si>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</si>
  <si>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</si>
  <si>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</si>
  <si>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</si>
  <si>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</si>
  <si>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</si>
  <si>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</si>
  <si>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</si>
  <si>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</si>
  <si>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</si>
  <si>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</si>
  <si>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</si>
  <si>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</si>
  <si>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</si>
  <si>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</si>
  <si>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</si>
  <si>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</si>
  <si>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</si>
  <si>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</si>
  <si>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</si>
  <si>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</si>
  <si>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</si>
  <si>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</si>
  <si>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</si>
  <si>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</si>
  <si>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</si>
  <si>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</si>
  <si>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</si>
  <si>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</si>
  <si>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</si>
  <si>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</si>
  <si>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</si>
  <si>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</si>
  <si>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</si>
  <si>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</si>
  <si>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</si>
  <si>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</si>
  <si>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</si>
  <si>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</si>
  <si>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</si>
  <si>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</si>
  <si>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</si>
  <si>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</si>
  <si>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</si>
  <si>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</si>
  <si>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</si>
  <si>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</si>
  <si>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</si>
  <si>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[proc.] *</t>
  </si>
  <si>
    <t>*  Stopa bezrobocia w stosunku do osób aktywnych zawodowo tj. bezrobotnych i pracujących.</t>
  </si>
  <si>
    <t>Stopa bezrobocia stan na 30-06-'25 r. (w proc.)*</t>
  </si>
  <si>
    <t>Stopa bezrobocia stan na 31-07-'25 r. (w proc.)*</t>
  </si>
  <si>
    <t>Stopa bezrobocia stan na 31-07-'24 r. (w proc.)*</t>
  </si>
  <si>
    <t>Stopa bezrobocia stan na 30-06-'25 r. w proc. *</t>
  </si>
  <si>
    <r>
      <t>Stopa bezrobocia stan na 31</t>
    </r>
    <r>
      <rPr>
        <sz val="12"/>
        <color theme="1"/>
        <rFont val="Arial"/>
        <family val="2"/>
        <charset val="238"/>
      </rPr>
      <t xml:space="preserve">-07-'25 </t>
    </r>
    <r>
      <rPr>
        <sz val="11"/>
        <color theme="1"/>
        <rFont val="Arial"/>
        <family val="2"/>
        <charset val="238"/>
      </rPr>
      <t>r. w proc.*</t>
    </r>
  </si>
  <si>
    <r>
      <t>Stopa bezrobocia stan na 31</t>
    </r>
    <r>
      <rPr>
        <sz val="12"/>
        <color theme="1"/>
        <rFont val="Arial"/>
        <family val="2"/>
        <charset val="238"/>
      </rPr>
      <t>-07-'24 r</t>
    </r>
    <r>
      <rPr>
        <sz val="11"/>
        <color theme="1"/>
        <rFont val="Arial"/>
        <family val="2"/>
        <charset val="238"/>
      </rPr>
      <t>. w proc.*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</si>
</sst>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4" fillId="5" borderId="19">
      <alignment horizontal="left" vertical="center" wrapText="1"/>
    </xf>
  </cellStyleXfs>
  <cellXfs count="9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3" fontId="13" fillId="2" borderId="0" xfId="0" applyNumberFormat="1" applyFont="1" applyFill="1"/>
    <xf numFmtId="3" fontId="13" fillId="2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POMORSKIE</c:v>
                </c:pt>
                <c:pt idx="5">
                  <c:v>DOLNOŚLĄSKIE</c:v>
                </c:pt>
                <c:pt idx="6">
                  <c:v>LUBUSKIE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3.3</c:v>
                </c:pt>
                <c:pt idx="1">
                  <c:v>4</c:v>
                </c:pt>
                <c:pt idx="2">
                  <c:v>4.3</c:v>
                </c:pt>
                <c:pt idx="3">
                  <c:v>4.4000000000000004</c:v>
                </c:pt>
                <c:pt idx="4">
                  <c:v>4.9000000000000004</c:v>
                </c:pt>
                <c:pt idx="5">
                  <c:v>5</c:v>
                </c:pt>
                <c:pt idx="6">
                  <c:v>5.0999999999999996</c:v>
                </c:pt>
                <c:pt idx="7">
                  <c:v>5.4</c:v>
                </c:pt>
                <c:pt idx="8">
                  <c:v>5.9</c:v>
                </c:pt>
                <c:pt idx="9">
                  <c:v>6</c:v>
                </c:pt>
                <c:pt idx="10">
                  <c:v>7</c:v>
                </c:pt>
                <c:pt idx="11">
                  <c:v>7.1</c:v>
                </c:pt>
                <c:pt idx="12">
                  <c:v>7.5</c:v>
                </c:pt>
                <c:pt idx="13">
                  <c:v>7.6</c:v>
                </c:pt>
                <c:pt idx="14">
                  <c:v>7.8</c:v>
                </c:pt>
                <c:pt idx="15">
                  <c:v>8.3000000000000007</c:v>
                </c:pt>
                <c:pt idx="1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mielecki</c:v>
                </c:pt>
                <c:pt idx="5">
                  <c:v>Powiat stalowowolski</c:v>
                </c:pt>
                <c:pt idx="6">
                  <c:v>Powiat m.Tarnobrzeg</c:v>
                </c:pt>
                <c:pt idx="7">
                  <c:v>Powiat rzeszowski</c:v>
                </c:pt>
                <c:pt idx="8">
                  <c:v>Powiat tarnobrzeski</c:v>
                </c:pt>
                <c:pt idx="9">
                  <c:v>Powiat kolbuszowski</c:v>
                </c:pt>
                <c:pt idx="10">
                  <c:v>PODKARPACKIE</c:v>
                </c:pt>
                <c:pt idx="11">
                  <c:v>Powiat krośnieński</c:v>
                </c:pt>
                <c:pt idx="12">
                  <c:v>Powiat sanocki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jarosławski</c:v>
                </c:pt>
                <c:pt idx="17">
                  <c:v>Powiat ropczycko-sędziszowski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3.5</c:v>
                </c:pt>
                <c:pt idx="1">
                  <c:v>4.3</c:v>
                </c:pt>
                <c:pt idx="2">
                  <c:v>4.7</c:v>
                </c:pt>
                <c:pt idx="3">
                  <c:v>5.4</c:v>
                </c:pt>
                <c:pt idx="4">
                  <c:v>5.7</c:v>
                </c:pt>
                <c:pt idx="5">
                  <c:v>5.7</c:v>
                </c:pt>
                <c:pt idx="6">
                  <c:v>7.2</c:v>
                </c:pt>
                <c:pt idx="7">
                  <c:v>7.6</c:v>
                </c:pt>
                <c:pt idx="8">
                  <c:v>7.6</c:v>
                </c:pt>
                <c:pt idx="9">
                  <c:v>8.3000000000000007</c:v>
                </c:pt>
                <c:pt idx="10">
                  <c:v>8.6999999999999993</c:v>
                </c:pt>
                <c:pt idx="11">
                  <c:v>8.9</c:v>
                </c:pt>
                <c:pt idx="12">
                  <c:v>8.9</c:v>
                </c:pt>
                <c:pt idx="13">
                  <c:v>9.1</c:v>
                </c:pt>
                <c:pt idx="14">
                  <c:v>9.6</c:v>
                </c:pt>
                <c:pt idx="15">
                  <c:v>10.4</c:v>
                </c:pt>
                <c:pt idx="16">
                  <c:v>11.1</c:v>
                </c:pt>
                <c:pt idx="17">
                  <c:v>11.1</c:v>
                </c:pt>
                <c:pt idx="18">
                  <c:v>12.7</c:v>
                </c:pt>
                <c:pt idx="19">
                  <c:v>13.5</c:v>
                </c:pt>
                <c:pt idx="20">
                  <c:v>13.7</c:v>
                </c:pt>
                <c:pt idx="21">
                  <c:v>14.9</c:v>
                </c:pt>
                <c:pt idx="22">
                  <c:v>15.3</c:v>
                </c:pt>
                <c:pt idx="23">
                  <c:v>16</c:v>
                </c:pt>
                <c:pt idx="24">
                  <c:v>17</c:v>
                </c:pt>
                <c:pt idx="25">
                  <c:v>17.7</c:v>
                </c:pt>
                <c:pt idx="26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/>
            </a:pPr>
            <a:r>
              <a:rPr lang="pl-PL" sz="1000" b="0">
                <a:solidFill>
                  <a:srgbClr val="0000FF"/>
                </a:solidFill>
              </a:rPr>
              <a:t>Polska - województwo podkarpackie</a:t>
            </a:r>
            <a:r>
              <a:rPr lang="pl-PL" sz="1000" b="0"/>
              <a:t>, stopa bezrobocia</a:t>
            </a:r>
          </a:p>
          <a:p>
            <a:pPr algn="l">
              <a:defRPr sz="1000" b="0"/>
            </a:pPr>
            <a:r>
              <a:rPr lang="pl-PL" sz="1000" b="0"/>
              <a:t>stan na 31 stycznia danego roku</a:t>
            </a:r>
          </a:p>
          <a:p>
            <a:pPr algn="l">
              <a:defRPr sz="1000" b="0"/>
            </a:pPr>
            <a:r>
              <a:rPr lang="pl-PL" sz="1000" b="0"/>
              <a:t>Polska 1990-2024, Podkarpackie</a:t>
            </a:r>
            <a:r>
              <a:rPr lang="pl-PL" sz="1000" b="0" baseline="0"/>
              <a:t> 1998-2024</a:t>
            </a:r>
            <a:endParaRPr lang="pl-PL" sz="1000" b="0"/>
          </a:p>
        </c:rich>
      </c:tx>
      <c:layout>
        <c:manualLayout>
          <c:xMode val="edge"/>
          <c:yMode val="edge"/>
          <c:x val="0.47196164327243323"/>
          <c:y val="6.53233204197793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'34'!$L$2</c:f>
              <c:strCache>
                <c:ptCount val="1"/>
                <c:pt idx="0">
                  <c:v>Polska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 formatCode="0.0">
                  <c:v>14</c:v>
                </c:pt>
                <c:pt idx="20">
                  <c:v>16.7</c:v>
                </c:pt>
                <c:pt idx="21" formatCode="0.0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1">
                  <a:lumMod val="60000"/>
                  <a:lumOff val="4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703548294694626"/>
          <c:h val="0.11472113759543098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</a:t>
            </a:r>
          </a:p>
          <a:p>
            <a:pPr algn="l">
              <a:defRPr sz="900" b="0"/>
            </a:pPr>
            <a:r>
              <a:rPr lang="pl-PL" sz="900" b="0"/>
              <a:t>stan na 31 grudnia danego roku</a:t>
            </a:r>
          </a:p>
        </c:rich>
      </c:tx>
      <c:layout>
        <c:manualLayout>
          <c:xMode val="edge"/>
          <c:yMode val="edge"/>
          <c:x val="0.51012402103474441"/>
          <c:y val="3.28029341223417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pl-PL" sz="1100" b="0">
                <a:solidFill>
                  <a:srgbClr val="0000FF"/>
                </a:solidFill>
              </a:rPr>
              <a:t>Województwo podkarpackie</a:t>
            </a:r>
            <a:r>
              <a:rPr lang="pl-PL" sz="1100" b="0"/>
              <a:t>, liczba bezrobotnych</a:t>
            </a:r>
          </a:p>
          <a:p>
            <a:pPr algn="l">
              <a:defRPr sz="1100" b="0"/>
            </a:pPr>
            <a:r>
              <a:rPr lang="pl-PL" sz="1100" b="0"/>
              <a:t>[w tym kobiety, mężczyźni]  stan na 31 grudnia danego roku</a:t>
            </a:r>
          </a:p>
          <a:p>
            <a:pPr algn="l">
              <a:defRPr sz="1100" b="0"/>
            </a:pPr>
            <a:r>
              <a:rPr lang="pl-PL" sz="1100" b="0"/>
              <a:t>Podkarpacie</a:t>
            </a:r>
            <a:r>
              <a:rPr lang="pl-PL" sz="1100" b="0" baseline="0"/>
              <a:t> 1998-2024</a:t>
            </a:r>
            <a:endParaRPr lang="pl-PL" sz="1100" b="0"/>
          </a:p>
        </c:rich>
      </c:tx>
      <c:layout>
        <c:manualLayout>
          <c:xMode val="edge"/>
          <c:yMode val="edge"/>
          <c:x val="0.27043413841533875"/>
          <c:y val="1.492011223198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156129015551E-2"/>
          <c:w val="0.90028379866274644"/>
          <c:h val="0.86215866191809398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25400" cmpd="sng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'34'!$F$2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'34'!$F$11:$F$36</c:f>
              <c:numCache>
                <c:formatCode>#,##0</c:formatCode>
                <c:ptCount val="26"/>
                <c:pt idx="0">
                  <c:v>77793</c:v>
                </c:pt>
                <c:pt idx="1">
                  <c:v>87827</c:v>
                </c:pt>
                <c:pt idx="2">
                  <c:v>97270</c:v>
                </c:pt>
                <c:pt idx="3">
                  <c:v>100472</c:v>
                </c:pt>
                <c:pt idx="4">
                  <c:v>93772</c:v>
                </c:pt>
                <c:pt idx="5">
                  <c:v>92598</c:v>
                </c:pt>
                <c:pt idx="6">
                  <c:v>88723</c:v>
                </c:pt>
                <c:pt idx="7">
                  <c:v>87626</c:v>
                </c:pt>
                <c:pt idx="8">
                  <c:v>81490</c:v>
                </c:pt>
                <c:pt idx="9">
                  <c:v>73127</c:v>
                </c:pt>
                <c:pt idx="10">
                  <c:v>64122</c:v>
                </c:pt>
                <c:pt idx="11">
                  <c:v>71158</c:v>
                </c:pt>
                <c:pt idx="12">
                  <c:v>73359</c:v>
                </c:pt>
                <c:pt idx="13">
                  <c:v>77403</c:v>
                </c:pt>
                <c:pt idx="14">
                  <c:v>77880</c:v>
                </c:pt>
                <c:pt idx="15">
                  <c:v>77415</c:v>
                </c:pt>
                <c:pt idx="16">
                  <c:v>70305</c:v>
                </c:pt>
                <c:pt idx="17">
                  <c:v>63579</c:v>
                </c:pt>
                <c:pt idx="18">
                  <c:v>56384</c:v>
                </c:pt>
                <c:pt idx="19">
                  <c:v>48619</c:v>
                </c:pt>
                <c:pt idx="20">
                  <c:v>45024</c:v>
                </c:pt>
                <c:pt idx="21">
                  <c:v>40284</c:v>
                </c:pt>
                <c:pt idx="22">
                  <c:v>46036</c:v>
                </c:pt>
                <c:pt idx="23">
                  <c:v>41090</c:v>
                </c:pt>
                <c:pt idx="24">
                  <c:v>36088</c:v>
                </c:pt>
                <c:pt idx="25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'34'!$G$2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'34'!$G$11:$G$36</c:f>
              <c:numCache>
                <c:formatCode>#,##0</c:formatCode>
                <c:ptCount val="26"/>
                <c:pt idx="0">
                  <c:v>59574</c:v>
                </c:pt>
                <c:pt idx="1">
                  <c:v>76865</c:v>
                </c:pt>
                <c:pt idx="2">
                  <c:v>84898</c:v>
                </c:pt>
                <c:pt idx="3">
                  <c:v>94701</c:v>
                </c:pt>
                <c:pt idx="4">
                  <c:v>93747</c:v>
                </c:pt>
                <c:pt idx="5">
                  <c:v>89899</c:v>
                </c:pt>
                <c:pt idx="6">
                  <c:v>81570</c:v>
                </c:pt>
                <c:pt idx="7">
                  <c:v>76330</c:v>
                </c:pt>
                <c:pt idx="8">
                  <c:v>63756</c:v>
                </c:pt>
                <c:pt idx="9">
                  <c:v>53233</c:v>
                </c:pt>
                <c:pt idx="10">
                  <c:v>51445</c:v>
                </c:pt>
                <c:pt idx="11">
                  <c:v>70786</c:v>
                </c:pt>
                <c:pt idx="12">
                  <c:v>68904</c:v>
                </c:pt>
                <c:pt idx="13">
                  <c:v>68805</c:v>
                </c:pt>
                <c:pt idx="14">
                  <c:v>75927</c:v>
                </c:pt>
                <c:pt idx="15">
                  <c:v>76801</c:v>
                </c:pt>
                <c:pt idx="16">
                  <c:v>67627</c:v>
                </c:pt>
                <c:pt idx="17">
                  <c:v>59935</c:v>
                </c:pt>
                <c:pt idx="18">
                  <c:v>51183</c:v>
                </c:pt>
                <c:pt idx="19">
                  <c:v>42353</c:v>
                </c:pt>
                <c:pt idx="20">
                  <c:v>37909</c:v>
                </c:pt>
                <c:pt idx="21">
                  <c:v>35171</c:v>
                </c:pt>
                <c:pt idx="22">
                  <c:v>41290</c:v>
                </c:pt>
                <c:pt idx="23">
                  <c:v>36201</c:v>
                </c:pt>
                <c:pt idx="24">
                  <c:v>32958</c:v>
                </c:pt>
                <c:pt idx="25">
                  <c:v>26563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tx2">
                  <a:lumMod val="60000"/>
                  <a:lumOff val="40000"/>
                  <a:alpha val="5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9.0852828477554479E-2"/>
          <c:y val="0.71923554699321779"/>
          <c:w val="0.37221857898604577"/>
          <c:h val="0.1546241261450477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Województwo </a:t>
            </a:r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podkarpackie</a:t>
            </a:r>
            <a:endParaRPr lang="pl-PL" sz="12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liczba bezrobotnych 1998-2024</a:t>
            </a:r>
            <a:endParaRPr lang="en-US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410667771803169"/>
          <c:y val="1.7080338110000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829542932841993"/>
        </c:manualLayout>
      </c:layout>
      <c:lineChart>
        <c:grouping val="standard"/>
        <c:varyColors val="0"/>
        <c:ser>
          <c:idx val="1"/>
          <c:order val="0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60000"/>
                  <a:lumOff val="40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1967134314"/>
          <c:y val="0.5363212717454894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53975">
              <a:solidFill>
                <a:schemeClr val="bg2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418645400926776E-3"/>
                  <c:y val="8.167550096772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7C-4BED-BCF6-5371AF49DA7D}"/>
                </c:ext>
              </c:extLst>
            </c:dLbl>
            <c:dLbl>
              <c:idx val="21"/>
              <c:layout>
                <c:manualLayout>
                  <c:x val="0"/>
                  <c:y val="-0.136465465825434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37C-4BED-BCF6-5371AF49DA7D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69850" cmpd="dbl">
              <a:solidFill>
                <a:schemeClr val="bg2">
                  <a:alpha val="91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419832597096235E-2"/>
                  <c:y val="-7.1468238032757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C-4BED-BCF6-5371AF49DA7D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2">
                          <a:lumMod val="75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388860730854418E-2"/>
                      <c:h val="0.12657285141528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37C-4BED-BCF6-5371AF49DA7D}"/>
                </c:ext>
              </c:extLst>
            </c:dLbl>
            <c:dLbl>
              <c:idx val="21"/>
              <c:layout>
                <c:manualLayout>
                  <c:x val="0"/>
                  <c:y val="0.1875201001058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437C-4BED-BCF6-5371AF49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1">
                  <a:lumMod val="40000"/>
                  <a:lumOff val="6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1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1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702332305721343"/>
          <c:y val="0.67314644709710492"/>
          <c:w val="0.41439447850536937"/>
          <c:h val="9.1990504863362674E-2"/>
        </c:manualLayout>
      </c:layout>
      <c:overlay val="0"/>
      <c:txPr>
        <a:bodyPr/>
        <a:lstStyle/>
        <a:p>
          <a:pPr>
            <a:defRPr sz="1100">
              <a:solidFill>
                <a:schemeClr val="bg2">
                  <a:lumMod val="75000"/>
                </a:schemeClr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r>
              <a:rPr lang="pl-PL" sz="1600" dirty="0">
                <a:solidFill>
                  <a:schemeClr val="bg2">
                    <a:lumMod val="75000"/>
                  </a:schemeClr>
                </a:solidFill>
              </a:rPr>
              <a:t>Bezrobotni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251650108747638E-2"/>
          <c:y val="5.9933878874569503E-2"/>
          <c:w val="0.91870205304823693"/>
          <c:h val="0.83492454705538199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50800">
              <a:solidFill>
                <a:schemeClr val="bg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9D4-476D-901A-B30B52F0ACB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D4-476D-901A-B30B52F0ACB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9D4-476D-901A-B30B52F0ACBC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9D4-476D-901A-B30B52F0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'34'!$B$11:$B$37</c:f>
              <c:strCache>
                <c:ptCount val="27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  <c:pt idx="26">
                  <c:v>31XII24</c:v>
                </c:pt>
              </c:strCache>
            </c:strRef>
          </c:cat>
          <c:val>
            <c:numRef>
              <c:f>'34'!$E$11:$E$37</c:f>
              <c:numCache>
                <c:formatCode>#,##0</c:formatCode>
                <c:ptCount val="27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  <c:pt idx="26">
                  <c:v>67336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9D4-476D-901A-B30B52F0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20000"/>
                  <a:lumOff val="8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tx1"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chemeClr val="bg2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285749</xdr:colOff>
      <xdr:row>1</xdr:row>
      <xdr:rowOff>114301</xdr:rowOff>
    </xdr:from>
    <xdr:to>
      <xdr:col>24</xdr:col>
      <xdr:colOff>297656</xdr:colOff>
      <xdr:row>25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14283</xdr:colOff>
      <xdr:row>24</xdr:row>
      <xdr:rowOff>83343</xdr:rowOff>
    </xdr:from>
    <xdr:to>
      <xdr:col>24</xdr:col>
      <xdr:colOff>476249</xdr:colOff>
      <xdr:row>43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214312</xdr:colOff>
      <xdr:row>45</xdr:row>
      <xdr:rowOff>11906</xdr:rowOff>
    </xdr:from>
    <xdr:to>
      <xdr:col>29</xdr:col>
      <xdr:colOff>146695</xdr:colOff>
      <xdr:row>69</xdr:row>
      <xdr:rowOff>41573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9370B213-D0EA-44E7-B673-A35B7C76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107157</xdr:colOff>
      <xdr:row>39</xdr:row>
      <xdr:rowOff>0</xdr:rowOff>
    </xdr:from>
    <xdr:to>
      <xdr:col>12</xdr:col>
      <xdr:colOff>638819</xdr:colOff>
      <xdr:row>51</xdr:row>
      <xdr:rowOff>14833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645545C-9D49-4D8E-BF86-59D3779EC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135</v>
      </c>
      <c r="D2" s="37" t="s">
        <v>134</v>
      </c>
      <c r="E2" s="36" t="s">
        <v>44</v>
      </c>
      <c r="F2" s="37" t="s">
        <v>136</v>
      </c>
      <c r="G2" s="36" t="s">
        <v>48</v>
      </c>
    </row>
    <row r="3" spans="1:8" ht="15" x14ac:dyDescent="0.2">
      <c r="A3" s="12">
        <v>1</v>
      </c>
      <c r="B3" s="13" t="s">
        <v>1</v>
      </c>
      <c r="C3" s="60">
        <v>5.4</v>
      </c>
      <c r="D3" s="39">
        <v>5.2</v>
      </c>
      <c r="E3" s="14">
        <f>C3-D3</f>
        <v>0.20000000000000018</v>
      </c>
      <c r="F3" s="39">
        <v>5</v>
      </c>
      <c r="G3" s="14">
        <f>C3-F3</f>
        <v>0.40000000000000036</v>
      </c>
      <c r="H3" s="15"/>
    </row>
    <row r="4" spans="1:8" x14ac:dyDescent="0.2">
      <c r="A4" s="12">
        <v>2</v>
      </c>
      <c r="B4" s="16" t="s">
        <v>2</v>
      </c>
      <c r="C4" s="58">
        <v>5</v>
      </c>
      <c r="D4" s="38">
        <v>4.8</v>
      </c>
      <c r="E4" s="17">
        <f t="shared" ref="E4:E19" si="0">C4-D4</f>
        <v>0.20000000000000018</v>
      </c>
      <c r="F4" s="38">
        <v>4.5999999999999996</v>
      </c>
      <c r="G4" s="17">
        <f t="shared" ref="G4:G19" si="1">C4-F4</f>
        <v>0.40000000000000036</v>
      </c>
      <c r="H4" s="15"/>
    </row>
    <row r="5" spans="1:8" x14ac:dyDescent="0.2">
      <c r="A5" s="12">
        <v>3</v>
      </c>
      <c r="B5" s="16" t="s">
        <v>3</v>
      </c>
      <c r="C5" s="17">
        <v>7.5</v>
      </c>
      <c r="D5" s="38">
        <v>7.2</v>
      </c>
      <c r="E5" s="18">
        <f t="shared" si="0"/>
        <v>0.29999999999999982</v>
      </c>
      <c r="F5" s="38">
        <v>6.9</v>
      </c>
      <c r="G5" s="17">
        <f t="shared" si="1"/>
        <v>0.59999999999999964</v>
      </c>
      <c r="H5" s="15"/>
    </row>
    <row r="6" spans="1:8" x14ac:dyDescent="0.2">
      <c r="A6" s="12">
        <v>4</v>
      </c>
      <c r="B6" s="16" t="s">
        <v>4</v>
      </c>
      <c r="C6" s="18">
        <v>7.6</v>
      </c>
      <c r="D6" s="38">
        <v>7.4</v>
      </c>
      <c r="E6" s="17">
        <f t="shared" si="0"/>
        <v>0.19999999999999929</v>
      </c>
      <c r="F6" s="38">
        <v>7.2</v>
      </c>
      <c r="G6" s="17">
        <f t="shared" si="1"/>
        <v>0.39999999999999947</v>
      </c>
      <c r="H6" s="15"/>
    </row>
    <row r="7" spans="1:8" x14ac:dyDescent="0.2">
      <c r="A7" s="12">
        <v>5</v>
      </c>
      <c r="B7" s="16" t="s">
        <v>5</v>
      </c>
      <c r="C7" s="17">
        <v>5.0999999999999996</v>
      </c>
      <c r="D7" s="38">
        <v>4.8</v>
      </c>
      <c r="E7" s="17">
        <f t="shared" si="0"/>
        <v>0.29999999999999982</v>
      </c>
      <c r="F7" s="38">
        <v>4.3</v>
      </c>
      <c r="G7" s="17">
        <f t="shared" si="1"/>
        <v>0.79999999999999982</v>
      </c>
      <c r="H7" s="15"/>
    </row>
    <row r="8" spans="1:8" x14ac:dyDescent="0.2">
      <c r="A8" s="12">
        <v>6</v>
      </c>
      <c r="B8" s="16" t="s">
        <v>6</v>
      </c>
      <c r="C8" s="17">
        <v>5.9</v>
      </c>
      <c r="D8" s="38">
        <v>5.7</v>
      </c>
      <c r="E8" s="17">
        <f t="shared" si="0"/>
        <v>0.20000000000000018</v>
      </c>
      <c r="F8" s="38">
        <v>5.4</v>
      </c>
      <c r="G8" s="17">
        <f t="shared" si="1"/>
        <v>0.5</v>
      </c>
      <c r="H8" s="15"/>
    </row>
    <row r="9" spans="1:8" x14ac:dyDescent="0.2">
      <c r="A9" s="12">
        <v>7</v>
      </c>
      <c r="B9" s="16" t="s">
        <v>7</v>
      </c>
      <c r="C9" s="17">
        <v>4.4000000000000004</v>
      </c>
      <c r="D9" s="38">
        <v>4.2</v>
      </c>
      <c r="E9" s="17">
        <f t="shared" si="0"/>
        <v>0.20000000000000018</v>
      </c>
      <c r="F9" s="38">
        <v>4.0999999999999996</v>
      </c>
      <c r="G9" s="17">
        <f t="shared" si="1"/>
        <v>0.30000000000000071</v>
      </c>
      <c r="H9" s="15"/>
    </row>
    <row r="10" spans="1:8" x14ac:dyDescent="0.2">
      <c r="A10" s="12">
        <v>8</v>
      </c>
      <c r="B10" s="16" t="s">
        <v>8</v>
      </c>
      <c r="C10" s="17">
        <v>4.3</v>
      </c>
      <c r="D10" s="38">
        <v>4.0999999999999996</v>
      </c>
      <c r="E10" s="17">
        <f t="shared" si="0"/>
        <v>0.20000000000000018</v>
      </c>
      <c r="F10" s="38">
        <v>4.0999999999999996</v>
      </c>
      <c r="G10" s="17">
        <f t="shared" si="1"/>
        <v>0.20000000000000018</v>
      </c>
      <c r="H10" s="15"/>
    </row>
    <row r="11" spans="1:8" x14ac:dyDescent="0.2">
      <c r="A11" s="12">
        <v>9</v>
      </c>
      <c r="B11" s="16" t="s">
        <v>9</v>
      </c>
      <c r="C11" s="17">
        <v>6</v>
      </c>
      <c r="D11" s="38">
        <v>5.8</v>
      </c>
      <c r="E11" s="17">
        <f t="shared" si="0"/>
        <v>0.20000000000000018</v>
      </c>
      <c r="F11" s="38">
        <v>5.7</v>
      </c>
      <c r="G11" s="17">
        <f t="shared" si="1"/>
        <v>0.29999999999999982</v>
      </c>
      <c r="H11" s="15"/>
    </row>
    <row r="12" spans="1:8" ht="15" x14ac:dyDescent="0.2">
      <c r="A12" s="12">
        <v>10</v>
      </c>
      <c r="B12" s="13" t="s">
        <v>10</v>
      </c>
      <c r="C12" s="59">
        <v>8.6999999999999993</v>
      </c>
      <c r="D12" s="39">
        <v>8.5</v>
      </c>
      <c r="E12" s="14">
        <f>C12-D12</f>
        <v>0.19999999999999929</v>
      </c>
      <c r="F12" s="39">
        <v>8.4</v>
      </c>
      <c r="G12" s="14">
        <f>C12-F12</f>
        <v>0.29999999999999893</v>
      </c>
      <c r="H12" s="15"/>
    </row>
    <row r="13" spans="1:8" x14ac:dyDescent="0.2">
      <c r="A13" s="12">
        <v>11</v>
      </c>
      <c r="B13" s="16" t="s">
        <v>11</v>
      </c>
      <c r="C13" s="58">
        <v>7.1</v>
      </c>
      <c r="D13" s="38">
        <v>6.9</v>
      </c>
      <c r="E13" s="17">
        <f t="shared" si="0"/>
        <v>0.19999999999999929</v>
      </c>
      <c r="F13" s="38">
        <v>6.8</v>
      </c>
      <c r="G13" s="17">
        <f t="shared" si="1"/>
        <v>0.29999999999999982</v>
      </c>
      <c r="H13" s="15"/>
    </row>
    <row r="14" spans="1:8" x14ac:dyDescent="0.2">
      <c r="A14" s="12">
        <v>12</v>
      </c>
      <c r="B14" s="16" t="s">
        <v>12</v>
      </c>
      <c r="C14" s="17">
        <v>4.9000000000000004</v>
      </c>
      <c r="D14" s="38">
        <v>4.7</v>
      </c>
      <c r="E14" s="17">
        <f t="shared" si="0"/>
        <v>0.20000000000000018</v>
      </c>
      <c r="F14" s="38">
        <v>4.4000000000000004</v>
      </c>
      <c r="G14" s="17">
        <f t="shared" si="1"/>
        <v>0.5</v>
      </c>
      <c r="H14" s="15"/>
    </row>
    <row r="15" spans="1:8" x14ac:dyDescent="0.2">
      <c r="A15" s="12">
        <v>13</v>
      </c>
      <c r="B15" s="16" t="s">
        <v>13</v>
      </c>
      <c r="C15" s="17">
        <v>4</v>
      </c>
      <c r="D15" s="38">
        <v>3.8</v>
      </c>
      <c r="E15" s="17">
        <f t="shared" si="0"/>
        <v>0.20000000000000018</v>
      </c>
      <c r="F15" s="38">
        <v>3.6</v>
      </c>
      <c r="G15" s="17">
        <f t="shared" si="1"/>
        <v>0.39999999999999991</v>
      </c>
      <c r="H15" s="15"/>
    </row>
    <row r="16" spans="1:8" x14ac:dyDescent="0.2">
      <c r="A16" s="12">
        <v>14</v>
      </c>
      <c r="B16" s="16" t="s">
        <v>14</v>
      </c>
      <c r="C16" s="17">
        <v>7.8</v>
      </c>
      <c r="D16" s="38">
        <v>7.5</v>
      </c>
      <c r="E16" s="17">
        <f t="shared" si="0"/>
        <v>0.29999999999999982</v>
      </c>
      <c r="F16" s="38">
        <v>7.4</v>
      </c>
      <c r="G16" s="17">
        <f t="shared" si="1"/>
        <v>0.39999999999999947</v>
      </c>
      <c r="H16" s="15"/>
    </row>
    <row r="17" spans="1:8" x14ac:dyDescent="0.2">
      <c r="A17" s="12">
        <v>15</v>
      </c>
      <c r="B17" s="16" t="s">
        <v>15</v>
      </c>
      <c r="C17" s="17">
        <v>8.3000000000000007</v>
      </c>
      <c r="D17" s="38">
        <v>8.1</v>
      </c>
      <c r="E17" s="17">
        <f t="shared" si="0"/>
        <v>0.20000000000000107</v>
      </c>
      <c r="F17" s="38">
        <v>7.7</v>
      </c>
      <c r="G17" s="17">
        <f t="shared" si="1"/>
        <v>0.60000000000000053</v>
      </c>
      <c r="H17" s="15"/>
    </row>
    <row r="18" spans="1:8" x14ac:dyDescent="0.2">
      <c r="A18" s="12">
        <v>16</v>
      </c>
      <c r="B18" s="16" t="s">
        <v>16</v>
      </c>
      <c r="C18" s="17">
        <v>3.3</v>
      </c>
      <c r="D18" s="38">
        <v>3.1</v>
      </c>
      <c r="E18" s="17">
        <f t="shared" si="0"/>
        <v>0.19999999999999973</v>
      </c>
      <c r="F18" s="38">
        <v>2.9</v>
      </c>
      <c r="G18" s="17">
        <f t="shared" si="1"/>
        <v>0.39999999999999991</v>
      </c>
      <c r="H18" s="15"/>
    </row>
    <row r="19" spans="1:8" x14ac:dyDescent="0.2">
      <c r="A19" s="12">
        <v>17</v>
      </c>
      <c r="B19" s="16" t="s">
        <v>17</v>
      </c>
      <c r="C19" s="17">
        <v>7</v>
      </c>
      <c r="D19" s="38">
        <v>6.8</v>
      </c>
      <c r="E19" s="17">
        <f t="shared" si="0"/>
        <v>0.20000000000000018</v>
      </c>
      <c r="F19" s="38">
        <v>6.5</v>
      </c>
      <c r="G19" s="17">
        <f t="shared" si="1"/>
        <v>0.5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31-07-'25 r. (w proc.)*</v>
      </c>
      <c r="E3" s="32" t="str">
        <f>T('1s.bezr.Pol'!D2)</f>
        <v>Stopa bezrobocia stan na 30-06-'25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31-07-'24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3.3</v>
      </c>
      <c r="E4" s="18">
        <f>INDEX('1s.bezr.Pol'!B3:G19,MATCH(1,B4:B20,0),3)</f>
        <v>3.1</v>
      </c>
      <c r="F4" s="38">
        <f>INDEX('1s.bezr.Pol'!B3:G19,MATCH(1,B4:B20,0),4)</f>
        <v>0.19999999999999973</v>
      </c>
      <c r="G4" s="18">
        <f>INDEX('1s.bezr.Pol'!B3:G19,MATCH(1,B4:B20,0),5)</f>
        <v>2.9</v>
      </c>
      <c r="H4" s="38">
        <f>INDEX('1s.bezr.Pol'!B3:G19,MATCH(1,B4:B20,0),6)</f>
        <v>0.39999999999999991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6</v>
      </c>
      <c r="C5" s="3" t="str">
        <f>INDEX('1s.bezr.Pol'!B3:G19,MATCH(2,B4:B20,0),1)</f>
        <v>ŚLĄSKIE</v>
      </c>
      <c r="D5" s="5">
        <f>INDEX('1s.bezr.Pol'!B3:G19,MATCH(2,B4:B20,0),2)</f>
        <v>4</v>
      </c>
      <c r="E5" s="18">
        <f>INDEX('1s.bezr.Pol'!B3:G19,MATCH(2,B4:B20,0),3)</f>
        <v>3.8</v>
      </c>
      <c r="F5" s="38">
        <f>INDEX('1s.bezr.Pol'!B3:G19,MATCH(2,B4:B20,0),4)</f>
        <v>0.20000000000000018</v>
      </c>
      <c r="G5" s="18">
        <f>INDEX('1s.bezr.Pol'!B3:G19,MATCH(2,B4:B20,0),5)</f>
        <v>3.6</v>
      </c>
      <c r="H5" s="38">
        <f>INDEX('1s.bezr.Pol'!B3:G19,MATCH(2,B4:B20,0),6)</f>
        <v>0.39999999999999991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4.3</v>
      </c>
      <c r="E6" s="18">
        <f>INDEX('1s.bezr.Pol'!B3:G19,MATCH(3,B4:B20,0),3)</f>
        <v>4.0999999999999996</v>
      </c>
      <c r="F6" s="38">
        <f>INDEX('1s.bezr.Pol'!B3:G19,MATCH(3,B4:B20,0),4)</f>
        <v>0.20000000000000018</v>
      </c>
      <c r="G6" s="18">
        <f>INDEX('1s.bezr.Pol'!B3:G19,MATCH(3,B4:B20,0),5)</f>
        <v>4.0999999999999996</v>
      </c>
      <c r="H6" s="38">
        <f>INDEX('1s.bezr.Pol'!B3:G19,MATCH(3,B4:B20,0),6)</f>
        <v>0.20000000000000018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4.4000000000000004</v>
      </c>
      <c r="E7" s="18">
        <f>INDEX('1s.bezr.Pol'!B3:G19,MATCH(4,B4:B20,0),3)</f>
        <v>4.2</v>
      </c>
      <c r="F7" s="38">
        <f>INDEX('1s.bezr.Pol'!B3:G19,MATCH(4,B4:B20,0),4)</f>
        <v>0.20000000000000018</v>
      </c>
      <c r="G7" s="18">
        <f>INDEX('1s.bezr.Pol'!B3:G19,MATCH(4,B4:B20,0),5)</f>
        <v>4.0999999999999996</v>
      </c>
      <c r="H7" s="38">
        <f>INDEX('1s.bezr.Pol'!B3:G19,MATCH(4,B4:B20,0),6)</f>
        <v>0.30000000000000071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7</v>
      </c>
      <c r="C8" s="3" t="str">
        <f>INDEX('1s.bezr.Pol'!B3:G19,MATCH(5,B4:B20,0),1)</f>
        <v>POMORSKIE</v>
      </c>
      <c r="D8" s="5">
        <f>INDEX('1s.bezr.Pol'!B3:G19,MATCH(5,B4:B20,0),2)</f>
        <v>4.9000000000000004</v>
      </c>
      <c r="E8" s="18">
        <f>INDEX('1s.bezr.Pol'!B3:G19,MATCH(5,B4:B20,0),3)</f>
        <v>4.7</v>
      </c>
      <c r="F8" s="38">
        <f>INDEX('1s.bezr.Pol'!B3:G19,MATCH(5,B4:B20,0),4)</f>
        <v>0.20000000000000018</v>
      </c>
      <c r="G8" s="18">
        <f>INDEX('1s.bezr.Pol'!B3:G19,MATCH(5,B4:B20,0),5)</f>
        <v>4.4000000000000004</v>
      </c>
      <c r="H8" s="38">
        <f>INDEX('1s.bezr.Pol'!B3:G19,MATCH(5,B4:B20,0),6)</f>
        <v>0.5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DOLNOŚLĄSKIE</v>
      </c>
      <c r="D9" s="5">
        <f>INDEX('1s.bezr.Pol'!B3:G19,MATCH(6,B4:B20,0),2)</f>
        <v>5</v>
      </c>
      <c r="E9" s="18">
        <f>INDEX('1s.bezr.Pol'!B3:G19,MATCH(6,B4:B20,0),3)</f>
        <v>4.8</v>
      </c>
      <c r="F9" s="38">
        <f>INDEX('1s.bezr.Pol'!B3:G19,MATCH(6,B4:B20,0),4)</f>
        <v>0.20000000000000018</v>
      </c>
      <c r="G9" s="18">
        <f>INDEX('1s.bezr.Pol'!B3:G19,MATCH(6,B4:B20,0),5)</f>
        <v>4.5999999999999996</v>
      </c>
      <c r="H9" s="38">
        <f>INDEX('1s.bezr.Pol'!B3:G19,MATCH(6,B4:B20,0),6)</f>
        <v>0.40000000000000036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LUBUSKIE</v>
      </c>
      <c r="D10" s="5">
        <f>INDEX('1s.bezr.Pol'!B3:G19,MATCH(7,B4:B20,0),2)</f>
        <v>5.0999999999999996</v>
      </c>
      <c r="E10" s="18">
        <f>INDEX('1s.bezr.Pol'!B3:G19,MATCH(7,B4:B20,0),3)</f>
        <v>4.8</v>
      </c>
      <c r="F10" s="38">
        <f>INDEX('1s.bezr.Pol'!B3:G19,MATCH(7,B4:B20,0),4)</f>
        <v>0.29999999999999982</v>
      </c>
      <c r="G10" s="18">
        <f>INDEX('1s.bezr.Pol'!B3:G19,MATCH(7,B4:B20,0),5)</f>
        <v>4.3</v>
      </c>
      <c r="H10" s="38">
        <f>INDEX('1s.bezr.Pol'!B3:G19,MATCH(7,B4:B20,0),6)</f>
        <v>0.79999999999999982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5.4</v>
      </c>
      <c r="E11" s="29">
        <f>INDEX('1s.bezr.Pol'!B3:G19,MATCH(8,B4:B20,0),3)</f>
        <v>5.2</v>
      </c>
      <c r="F11" s="39">
        <f>INDEX('1s.bezr.Pol'!B3:G19,MATCH(8,B4:B20,0),4)</f>
        <v>0.20000000000000018</v>
      </c>
      <c r="G11" s="29">
        <f>INDEX('1s.bezr.Pol'!B3:G19,MATCH(8,B4:B20,0),5)</f>
        <v>5</v>
      </c>
      <c r="H11" s="39">
        <f>INDEX('1s.bezr.Pol'!B3:G19,MATCH(8,B4:B20,0),6)</f>
        <v>0.40000000000000036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5.9</v>
      </c>
      <c r="E12" s="18">
        <f>INDEX('1s.bezr.Pol'!B3:G19,MATCH(9,B4:B20,0),3)</f>
        <v>5.7</v>
      </c>
      <c r="F12" s="38">
        <f>INDEX('1s.bezr.Pol'!B3:G19,MATCH(9,B4:B20,0),4)</f>
        <v>0.20000000000000018</v>
      </c>
      <c r="G12" s="18">
        <f>INDEX('1s.bezr.Pol'!B3:G19,MATCH(9,B4:B20,0),5)</f>
        <v>5.4</v>
      </c>
      <c r="H12" s="38">
        <f>INDEX('1s.bezr.Pol'!B3:G19,MATCH(9,B4:B20,0),6)</f>
        <v>0.5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6</v>
      </c>
      <c r="E13" s="18">
        <f>INDEX('1s.bezr.Pol'!B3:G19,MATCH(10,B4:B20,0),3)</f>
        <v>5.8</v>
      </c>
      <c r="F13" s="38">
        <f>INDEX('1s.bezr.Pol'!B3:G19,MATCH(10,B4:B20,0),4)</f>
        <v>0.20000000000000018</v>
      </c>
      <c r="G13" s="18">
        <f>INDEX('1s.bezr.Pol'!B3:G19,MATCH(10,B4:B20,0),5)</f>
        <v>5.7</v>
      </c>
      <c r="H13" s="38">
        <f>INDEX('1s.bezr.Pol'!B3:G19,MATCH(10,B4:B20,0),6)</f>
        <v>0.29999999999999982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12</v>
      </c>
      <c r="C14" s="3" t="str">
        <f>INDEX('1s.bezr.Pol'!B3:G19,MATCH(11,B4:B20,0),1)</f>
        <v>ZACHODNIOPOMORSKIE</v>
      </c>
      <c r="D14" s="5">
        <f>INDEX('1s.bezr.Pol'!B3:G19,MATCH(11,B4:B20,0),2)</f>
        <v>7</v>
      </c>
      <c r="E14" s="18">
        <f>INDEX('1s.bezr.Pol'!B3:G19,MATCH(11,B4:B20,0),3)</f>
        <v>6.8</v>
      </c>
      <c r="F14" s="38">
        <f>INDEX('1s.bezr.Pol'!B3:G19,MATCH(11,B4:B20,0),4)</f>
        <v>0.20000000000000018</v>
      </c>
      <c r="G14" s="18">
        <f>INDEX('1s.bezr.Pol'!B3:G19,MATCH(11,B4:B20,0),5)</f>
        <v>6.5</v>
      </c>
      <c r="H14" s="38">
        <f>INDEX('1s.bezr.Pol'!B3:G19,MATCH(11,B4:B20,0),6)</f>
        <v>0.5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5</v>
      </c>
      <c r="C15" s="3" t="str">
        <f>INDEX('1s.bezr.Pol'!B3:G19,MATCH(12,B4:B20,0),1)</f>
        <v>PODLASKIE</v>
      </c>
      <c r="D15" s="5">
        <f>INDEX('1s.bezr.Pol'!B3:G19,MATCH(12,B4:B20,0),2)</f>
        <v>7.1</v>
      </c>
      <c r="E15" s="18">
        <f>INDEX('1s.bezr.Pol'!B3:G19,MATCH(12,B4:B20,0),3)</f>
        <v>6.9</v>
      </c>
      <c r="F15" s="38">
        <f>INDEX('1s.bezr.Pol'!B3:G19,MATCH(12,B4:B20,0),4)</f>
        <v>0.19999999999999929</v>
      </c>
      <c r="G15" s="18">
        <f>INDEX('1s.bezr.Pol'!B3:G19,MATCH(12,B4:B20,0),5)</f>
        <v>6.8</v>
      </c>
      <c r="H15" s="38">
        <f>INDEX('1s.bezr.Pol'!B3:G19,MATCH(12,B4:B20,0),6)</f>
        <v>0.29999999999999982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7.5</v>
      </c>
      <c r="E16" s="18">
        <f>INDEX('1s.bezr.Pol'!B3:G19,MATCH(13,B4:B20,0),3)</f>
        <v>7.2</v>
      </c>
      <c r="F16" s="38">
        <f>INDEX('1s.bezr.Pol'!B3:G19,MATCH(13,B4:B20,0),4)</f>
        <v>0.29999999999999982</v>
      </c>
      <c r="G16" s="18">
        <f>INDEX('1s.bezr.Pol'!B3:G19,MATCH(13,B4:B20,0),5)</f>
        <v>6.9</v>
      </c>
      <c r="H16" s="38">
        <f>INDEX('1s.bezr.Pol'!B3:G19,MATCH(13,B4:B20,0),6)</f>
        <v>0.59999999999999964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7.6</v>
      </c>
      <c r="E17" s="18">
        <f>INDEX('1s.bezr.Pol'!B3:G19,MATCH(14,B4:B20,0),3)</f>
        <v>7.4</v>
      </c>
      <c r="F17" s="38">
        <f>INDEX('1s.bezr.Pol'!B3:G19,MATCH(14,B4:B20,0),4)</f>
        <v>0.19999999999999929</v>
      </c>
      <c r="G17" s="18">
        <f>INDEX('1s.bezr.Pol'!B3:G19,MATCH(14,B4:B20,0),5)</f>
        <v>7.2</v>
      </c>
      <c r="H17" s="38">
        <f>INDEX('1s.bezr.Pol'!B3:G19,MATCH(14,B4:B20,0),6)</f>
        <v>0.39999999999999947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7.8</v>
      </c>
      <c r="E18" s="18">
        <f>INDEX('1s.bezr.Pol'!B3:G19,MATCH(15,B4:B20,0),3)</f>
        <v>7.5</v>
      </c>
      <c r="F18" s="38">
        <f>INDEX('1s.bezr.Pol'!B3:G19,MATCH(15,B4:B20,0),4)</f>
        <v>0.29999999999999982</v>
      </c>
      <c r="G18" s="18">
        <f>INDEX('1s.bezr.Pol'!B3:G19,MATCH(15,B4:B20,0),5)</f>
        <v>7.4</v>
      </c>
      <c r="H18" s="38">
        <f>INDEX('1s.bezr.Pol'!B3:G19,MATCH(15,B4:B20,0),6)</f>
        <v>0.39999999999999947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8.3000000000000007</v>
      </c>
      <c r="E19" s="18">
        <f>INDEX('1s.bezr.Pol'!B3:G19,MATCH(16,B4:B20,0),3)</f>
        <v>8.1</v>
      </c>
      <c r="F19" s="38">
        <f>INDEX('1s.bezr.Pol'!B3:G19,MATCH(16,B4:B20,0),4)</f>
        <v>0.20000000000000107</v>
      </c>
      <c r="G19" s="18">
        <f>INDEX('1s.bezr.Pol'!B3:G19,MATCH(16,B4:B20,0),5)</f>
        <v>7.7</v>
      </c>
      <c r="H19" s="38">
        <f>INDEX('1s.bezr.Pol'!B3:G19,MATCH(16,B4:B20,0),6)</f>
        <v>0.60000000000000053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11</v>
      </c>
      <c r="C20" s="6" t="str">
        <f>INDEX('1s.bezr.Pol'!B3:G19,MATCH(17,B4:B20,0),1)</f>
        <v>PODKARPACKIE</v>
      </c>
      <c r="D20" s="5">
        <f>INDEX('1s.bezr.Pol'!B3:G19,MATCH(17,B4:B20,0),2)</f>
        <v>8.6999999999999993</v>
      </c>
      <c r="E20" s="18">
        <f>INDEX('1s.bezr.Pol'!B3:G19,MATCH(17,B4:B20,0),3)</f>
        <v>8.5</v>
      </c>
      <c r="F20" s="38">
        <f>INDEX('1s.bezr.Pol'!B3:G19,MATCH(17,B4:B20,0),4)</f>
        <v>0.19999999999999929</v>
      </c>
      <c r="G20" s="18">
        <f>INDEX('1s.bezr.Pol'!B3:G19,MATCH(17,B4:B20,0),5)</f>
        <v>8.4</v>
      </c>
      <c r="H20" s="38">
        <f>INDEX('1s.bezr.Pol'!B3:G19,MATCH(17,B4:B20,0),6)</f>
        <v>0.29999999999999893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6.8554687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138</v>
      </c>
      <c r="D2" s="34" t="s">
        <v>137</v>
      </c>
      <c r="E2" s="33" t="s">
        <v>43</v>
      </c>
      <c r="F2" s="34" t="s">
        <v>139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5.4</v>
      </c>
      <c r="D3" s="42">
        <v>5.2</v>
      </c>
      <c r="E3" s="43">
        <f>($C$3)-$D$3</f>
        <v>0.20000000000000018</v>
      </c>
      <c r="F3" s="42">
        <v>5</v>
      </c>
      <c r="G3" s="41">
        <f>($C$3)-$F$3</f>
        <v>0.40000000000000036</v>
      </c>
      <c r="H3" s="12"/>
    </row>
    <row r="4" spans="1:8" ht="15" x14ac:dyDescent="0.25">
      <c r="A4" s="12">
        <v>2</v>
      </c>
      <c r="B4" s="44" t="s">
        <v>10</v>
      </c>
      <c r="C4" s="45">
        <v>8.6999999999999993</v>
      </c>
      <c r="D4" s="42">
        <v>8.5</v>
      </c>
      <c r="E4" s="45">
        <f>($C$4)-$D$4</f>
        <v>0.19999999999999929</v>
      </c>
      <c r="F4" s="42">
        <v>8.4</v>
      </c>
      <c r="G4" s="45">
        <f>($C$4)-$F$4</f>
        <v>0.29999999999999893</v>
      </c>
      <c r="H4" s="12"/>
    </row>
    <row r="5" spans="1:8" x14ac:dyDescent="0.2">
      <c r="A5" s="12">
        <v>3</v>
      </c>
      <c r="B5" s="16" t="s">
        <v>18</v>
      </c>
      <c r="C5" s="17">
        <v>14.9</v>
      </c>
      <c r="D5" s="46">
        <v>14.4</v>
      </c>
      <c r="E5" s="5">
        <f>($C$5)-$D$5</f>
        <v>0.5</v>
      </c>
      <c r="F5" s="46">
        <v>14.6</v>
      </c>
      <c r="G5" s="5">
        <f>($C$5)-$F$5</f>
        <v>0.30000000000000071</v>
      </c>
      <c r="H5" s="12"/>
    </row>
    <row r="6" spans="1:8" x14ac:dyDescent="0.2">
      <c r="A6" s="12">
        <v>4</v>
      </c>
      <c r="B6" s="16" t="s">
        <v>19</v>
      </c>
      <c r="C6" s="17">
        <v>19.600000000000001</v>
      </c>
      <c r="D6" s="46">
        <v>19.3</v>
      </c>
      <c r="E6" s="5">
        <f>($C$6)-$D$6</f>
        <v>0.30000000000000071</v>
      </c>
      <c r="F6" s="46">
        <v>19.5</v>
      </c>
      <c r="G6" s="5">
        <f>($C$6)-$F$6</f>
        <v>0.10000000000000142</v>
      </c>
      <c r="H6" s="12"/>
    </row>
    <row r="7" spans="1:8" x14ac:dyDescent="0.2">
      <c r="A7" s="12">
        <v>5</v>
      </c>
      <c r="B7" s="16" t="s">
        <v>20</v>
      </c>
      <c r="C7" s="17">
        <v>4.7</v>
      </c>
      <c r="D7" s="46">
        <v>4.3</v>
      </c>
      <c r="E7" s="5">
        <f>($C$7)-$D$7</f>
        <v>0.40000000000000036</v>
      </c>
      <c r="F7" s="46">
        <v>4.3</v>
      </c>
      <c r="G7" s="5">
        <f>($C$7)-$F$7</f>
        <v>0.40000000000000036</v>
      </c>
      <c r="H7" s="12"/>
    </row>
    <row r="8" spans="1:8" x14ac:dyDescent="0.2">
      <c r="A8" s="12">
        <v>6</v>
      </c>
      <c r="B8" s="16" t="s">
        <v>21</v>
      </c>
      <c r="C8" s="17">
        <v>11.1</v>
      </c>
      <c r="D8" s="46">
        <v>10.8</v>
      </c>
      <c r="E8" s="5">
        <f>($C$8)-$D$8</f>
        <v>0.29999999999999893</v>
      </c>
      <c r="F8" s="46">
        <v>10.6</v>
      </c>
      <c r="G8" s="5">
        <f>($C$8)-$F$8</f>
        <v>0.5</v>
      </c>
      <c r="H8" s="12"/>
    </row>
    <row r="9" spans="1:8" x14ac:dyDescent="0.2">
      <c r="A9" s="12">
        <v>7</v>
      </c>
      <c r="B9" s="16" t="s">
        <v>22</v>
      </c>
      <c r="C9" s="17">
        <v>12.7</v>
      </c>
      <c r="D9" s="46">
        <v>12.3</v>
      </c>
      <c r="E9" s="5">
        <f>($C$9)-$D$9</f>
        <v>0.39999999999999858</v>
      </c>
      <c r="F9" s="46">
        <v>12.5</v>
      </c>
      <c r="G9" s="5">
        <f>($C$9)-$F$9</f>
        <v>0.19999999999999929</v>
      </c>
      <c r="H9" s="12"/>
    </row>
    <row r="10" spans="1:8" x14ac:dyDescent="0.2">
      <c r="A10" s="12">
        <v>8</v>
      </c>
      <c r="B10" s="16" t="s">
        <v>23</v>
      </c>
      <c r="C10" s="17">
        <v>8.3000000000000007</v>
      </c>
      <c r="D10" s="46">
        <v>7.9</v>
      </c>
      <c r="E10" s="5">
        <f>($C$10)-$D$10</f>
        <v>0.40000000000000036</v>
      </c>
      <c r="F10" s="46">
        <v>8</v>
      </c>
      <c r="G10" s="5">
        <f>($C$10)-$F$10</f>
        <v>0.30000000000000071</v>
      </c>
      <c r="H10" s="12"/>
    </row>
    <row r="11" spans="1:8" x14ac:dyDescent="0.2">
      <c r="A11" s="12">
        <v>9</v>
      </c>
      <c r="B11" s="16" t="s">
        <v>24</v>
      </c>
      <c r="C11" s="17">
        <v>8.9</v>
      </c>
      <c r="D11" s="46">
        <v>8.9</v>
      </c>
      <c r="E11" s="5">
        <f>($C$11)-$D$11</f>
        <v>0</v>
      </c>
      <c r="F11" s="46">
        <v>8.1</v>
      </c>
      <c r="G11" s="5">
        <f>($C$11)-$F$11</f>
        <v>0.80000000000000071</v>
      </c>
      <c r="H11" s="12"/>
    </row>
    <row r="12" spans="1:8" ht="15" x14ac:dyDescent="0.25">
      <c r="A12" s="12">
        <v>10</v>
      </c>
      <c r="B12" s="19" t="s">
        <v>25</v>
      </c>
      <c r="C12" s="20">
        <v>17.7</v>
      </c>
      <c r="D12" s="42">
        <v>17.3</v>
      </c>
      <c r="E12" s="21">
        <f>($C$12)-$D$12</f>
        <v>0.39999999999999858</v>
      </c>
      <c r="F12" s="42">
        <v>17.100000000000001</v>
      </c>
      <c r="G12" s="21">
        <f>($C$12)-$F$12</f>
        <v>0.59999999999999787</v>
      </c>
      <c r="H12" s="15"/>
    </row>
    <row r="13" spans="1:8" x14ac:dyDescent="0.2">
      <c r="A13" s="12">
        <v>11</v>
      </c>
      <c r="B13" s="16" t="s">
        <v>26</v>
      </c>
      <c r="C13" s="17">
        <v>13.7</v>
      </c>
      <c r="D13" s="46">
        <v>13.5</v>
      </c>
      <c r="E13" s="5">
        <f>($C$13)-$D$13</f>
        <v>0.19999999999999929</v>
      </c>
      <c r="F13" s="46">
        <v>13.4</v>
      </c>
      <c r="G13" s="5">
        <f>($C$13)-$F$13</f>
        <v>0.29999999999999893</v>
      </c>
      <c r="H13" s="12"/>
    </row>
    <row r="14" spans="1:8" x14ac:dyDescent="0.2">
      <c r="A14" s="12">
        <v>12</v>
      </c>
      <c r="B14" s="16" t="s">
        <v>27</v>
      </c>
      <c r="C14" s="17">
        <v>9.6</v>
      </c>
      <c r="D14" s="46">
        <v>9.1</v>
      </c>
      <c r="E14" s="5">
        <f>($C$14)-$D$14</f>
        <v>0.5</v>
      </c>
      <c r="F14" s="46">
        <v>9.5</v>
      </c>
      <c r="G14" s="5">
        <f>($C$14)-$F$14</f>
        <v>9.9999999999999645E-2</v>
      </c>
      <c r="H14" s="12"/>
    </row>
    <row r="15" spans="1:8" x14ac:dyDescent="0.2">
      <c r="A15" s="12">
        <v>13</v>
      </c>
      <c r="B15" s="16" t="s">
        <v>28</v>
      </c>
      <c r="C15" s="17">
        <v>9.1</v>
      </c>
      <c r="D15" s="46">
        <v>8.8000000000000007</v>
      </c>
      <c r="E15" s="5">
        <f>($C$15)-$D$15</f>
        <v>0.29999999999999893</v>
      </c>
      <c r="F15" s="46">
        <v>9.1</v>
      </c>
      <c r="G15" s="5">
        <f>($C$15)-$F$15</f>
        <v>0</v>
      </c>
      <c r="H15" s="12"/>
    </row>
    <row r="16" spans="1:8" x14ac:dyDescent="0.2">
      <c r="A16" s="12">
        <v>14</v>
      </c>
      <c r="B16" s="16" t="s">
        <v>29</v>
      </c>
      <c r="C16" s="17">
        <v>5.7</v>
      </c>
      <c r="D16" s="46">
        <v>5.4</v>
      </c>
      <c r="E16" s="5">
        <f>($C$16)-$D$16</f>
        <v>0.29999999999999982</v>
      </c>
      <c r="F16" s="46">
        <v>5.2</v>
      </c>
      <c r="G16" s="5">
        <f>($C$16)-$F$16</f>
        <v>0.5</v>
      </c>
      <c r="H16" s="12"/>
    </row>
    <row r="17" spans="1:8" x14ac:dyDescent="0.2">
      <c r="A17" s="12">
        <v>15</v>
      </c>
      <c r="B17" s="16" t="s">
        <v>30</v>
      </c>
      <c r="C17" s="17">
        <v>16</v>
      </c>
      <c r="D17" s="46">
        <v>15.7</v>
      </c>
      <c r="E17" s="5">
        <f>($C$17)-$D$17</f>
        <v>0.30000000000000071</v>
      </c>
      <c r="F17" s="46">
        <v>16.100000000000001</v>
      </c>
      <c r="G17" s="5">
        <f>($C$17)-$F$17</f>
        <v>-0.10000000000000142</v>
      </c>
      <c r="H17" s="12"/>
    </row>
    <row r="18" spans="1:8" x14ac:dyDescent="0.2">
      <c r="A18" s="12">
        <v>16</v>
      </c>
      <c r="B18" s="16" t="s">
        <v>31</v>
      </c>
      <c r="C18" s="17">
        <v>15.3</v>
      </c>
      <c r="D18" s="46">
        <v>15.2</v>
      </c>
      <c r="E18" s="5">
        <f>($C$18)-$D$18</f>
        <v>0.10000000000000142</v>
      </c>
      <c r="F18" s="46">
        <v>14.9</v>
      </c>
      <c r="G18" s="5">
        <f>($C$18)-$F$18</f>
        <v>0.40000000000000036</v>
      </c>
      <c r="H18" s="12"/>
    </row>
    <row r="19" spans="1:8" x14ac:dyDescent="0.2">
      <c r="A19" s="12">
        <v>17</v>
      </c>
      <c r="B19" s="16" t="s">
        <v>32</v>
      </c>
      <c r="C19" s="17">
        <v>13.5</v>
      </c>
      <c r="D19" s="46">
        <v>13.2</v>
      </c>
      <c r="E19" s="5">
        <f>($C$19)-$D$19</f>
        <v>0.30000000000000071</v>
      </c>
      <c r="F19" s="46">
        <v>12.8</v>
      </c>
      <c r="G19" s="5">
        <f>($C$19)-$F$19</f>
        <v>0.69999999999999929</v>
      </c>
      <c r="H19" s="12"/>
    </row>
    <row r="20" spans="1:8" x14ac:dyDescent="0.2">
      <c r="A20" s="12">
        <v>18</v>
      </c>
      <c r="B20" s="16" t="s">
        <v>33</v>
      </c>
      <c r="C20" s="17">
        <v>11.1</v>
      </c>
      <c r="D20" s="46">
        <v>10.6</v>
      </c>
      <c r="E20" s="5">
        <f>($C$20)-$D$20</f>
        <v>0.5</v>
      </c>
      <c r="F20" s="46">
        <v>10.4</v>
      </c>
      <c r="G20" s="5">
        <f>($C$20)-$F$20</f>
        <v>0.69999999999999929</v>
      </c>
      <c r="H20" s="12"/>
    </row>
    <row r="21" spans="1:8" x14ac:dyDescent="0.2">
      <c r="A21" s="12">
        <v>19</v>
      </c>
      <c r="B21" s="16" t="s">
        <v>34</v>
      </c>
      <c r="C21" s="17">
        <v>7.6</v>
      </c>
      <c r="D21" s="46">
        <v>7.4</v>
      </c>
      <c r="E21" s="5">
        <f>($C$21)-$D$21</f>
        <v>0.19999999999999929</v>
      </c>
      <c r="F21" s="46">
        <v>7.3</v>
      </c>
      <c r="G21" s="5">
        <f>($C$21)-$F$21</f>
        <v>0.29999999999999982</v>
      </c>
      <c r="H21" s="12"/>
    </row>
    <row r="22" spans="1:8" x14ac:dyDescent="0.2">
      <c r="A22" s="12">
        <v>20</v>
      </c>
      <c r="B22" s="16" t="s">
        <v>35</v>
      </c>
      <c r="C22" s="17">
        <v>8.9</v>
      </c>
      <c r="D22" s="46">
        <v>8.6</v>
      </c>
      <c r="E22" s="5">
        <f>($C$22)-$D$22</f>
        <v>0.30000000000000071</v>
      </c>
      <c r="F22" s="46">
        <v>8.3000000000000007</v>
      </c>
      <c r="G22" s="5">
        <f>($C$22)-$F$22</f>
        <v>0.59999999999999964</v>
      </c>
      <c r="H22" s="12"/>
    </row>
    <row r="23" spans="1:8" x14ac:dyDescent="0.2">
      <c r="A23" s="12">
        <v>21</v>
      </c>
      <c r="B23" s="16" t="s">
        <v>36</v>
      </c>
      <c r="C23" s="17">
        <v>5.7</v>
      </c>
      <c r="D23" s="46">
        <v>5.6</v>
      </c>
      <c r="E23" s="5">
        <f>($C$23)-$D$23</f>
        <v>0.10000000000000053</v>
      </c>
      <c r="F23" s="46">
        <v>5</v>
      </c>
      <c r="G23" s="5">
        <f>($C$23)-$F$23</f>
        <v>0.70000000000000018</v>
      </c>
      <c r="H23" s="12"/>
    </row>
    <row r="24" spans="1:8" x14ac:dyDescent="0.2">
      <c r="A24" s="12">
        <v>22</v>
      </c>
      <c r="B24" s="16" t="s">
        <v>37</v>
      </c>
      <c r="C24" s="17">
        <v>17</v>
      </c>
      <c r="D24" s="46">
        <v>16.399999999999999</v>
      </c>
      <c r="E24" s="5">
        <f>($C$24)-$D$24</f>
        <v>0.60000000000000142</v>
      </c>
      <c r="F24" s="46">
        <v>16.899999999999999</v>
      </c>
      <c r="G24" s="5">
        <f>($C$24)-$F$24</f>
        <v>0.10000000000000142</v>
      </c>
      <c r="H24" s="12"/>
    </row>
    <row r="25" spans="1:8" x14ac:dyDescent="0.2">
      <c r="A25" s="12">
        <v>23</v>
      </c>
      <c r="B25" s="16" t="s">
        <v>38</v>
      </c>
      <c r="C25" s="17">
        <v>7.6</v>
      </c>
      <c r="D25" s="46">
        <v>7.4</v>
      </c>
      <c r="E25" s="5">
        <f>($C$25)-$D$25</f>
        <v>0.19999999999999929</v>
      </c>
      <c r="F25" s="46">
        <v>7.5</v>
      </c>
      <c r="G25" s="5">
        <f>($C$25)-$F$25</f>
        <v>9.9999999999999645E-2</v>
      </c>
      <c r="H25" s="12"/>
    </row>
    <row r="26" spans="1:8" x14ac:dyDescent="0.2">
      <c r="A26" s="12">
        <v>24</v>
      </c>
      <c r="B26" s="16" t="s">
        <v>39</v>
      </c>
      <c r="C26" s="22">
        <v>3.5</v>
      </c>
      <c r="D26" s="46">
        <v>3.3</v>
      </c>
      <c r="E26" s="5">
        <f>($C$26)-$D$26</f>
        <v>0.20000000000000018</v>
      </c>
      <c r="F26" s="46">
        <v>2.9</v>
      </c>
      <c r="G26" s="5">
        <f>($C$26)-$F$26</f>
        <v>0.60000000000000009</v>
      </c>
      <c r="H26" s="12"/>
    </row>
    <row r="27" spans="1:8" x14ac:dyDescent="0.2">
      <c r="A27" s="12">
        <v>25</v>
      </c>
      <c r="B27" s="16" t="s">
        <v>40</v>
      </c>
      <c r="C27" s="17">
        <v>10.4</v>
      </c>
      <c r="D27" s="46">
        <v>10.199999999999999</v>
      </c>
      <c r="E27" s="5">
        <f>($C$27)-$D$27</f>
        <v>0.20000000000000107</v>
      </c>
      <c r="F27" s="46">
        <v>9.8000000000000007</v>
      </c>
      <c r="G27" s="5">
        <f>($C$27)-$F$27</f>
        <v>0.59999999999999964</v>
      </c>
      <c r="H27" s="12"/>
    </row>
    <row r="28" spans="1:8" x14ac:dyDescent="0.2">
      <c r="A28" s="12">
        <v>26</v>
      </c>
      <c r="B28" s="16" t="s">
        <v>41</v>
      </c>
      <c r="C28" s="17">
        <v>4.3</v>
      </c>
      <c r="D28" s="46">
        <v>4.0999999999999996</v>
      </c>
      <c r="E28" s="5">
        <f>($C$28)-$D$28</f>
        <v>0.20000000000000018</v>
      </c>
      <c r="F28" s="46">
        <v>4.0999999999999996</v>
      </c>
      <c r="G28" s="5">
        <f>($C$28)-$F$28</f>
        <v>0.20000000000000018</v>
      </c>
      <c r="H28" s="12"/>
    </row>
    <row r="29" spans="1:8" x14ac:dyDescent="0.2">
      <c r="A29" s="12">
        <v>27</v>
      </c>
      <c r="B29" s="16" t="s">
        <v>42</v>
      </c>
      <c r="C29" s="17">
        <v>7.2</v>
      </c>
      <c r="D29" s="48">
        <v>6.9</v>
      </c>
      <c r="E29" s="5">
        <f>($C$29)-$D$29</f>
        <v>0.29999999999999982</v>
      </c>
      <c r="F29" s="46">
        <v>7.1</v>
      </c>
      <c r="G29" s="5">
        <f>($C$29)-$F$29</f>
        <v>0.10000000000000053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31-07-'25 r. w proc.*</v>
      </c>
      <c r="E3" s="32" t="str">
        <f>T('2s.bezr.pow.'!D2)</f>
        <v>Stopa bezrobocia stan na 30-06-'25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31-07-'24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3.5</v>
      </c>
      <c r="E4" s="46">
        <f>INDEX('2s.bezr.pow.'!B3:G29,MATCH(1,B4:B30,0),3)</f>
        <v>3.3</v>
      </c>
      <c r="F4" s="11">
        <f>INDEX('2s.bezr.pow.'!B3:G29,MATCH(1,B4:B30,0),4)</f>
        <v>0.20000000000000018</v>
      </c>
      <c r="G4" s="46">
        <f>INDEX('2s.bezr.pow.'!B3:G29,MATCH(1,B4:B30,0),5)</f>
        <v>2.9</v>
      </c>
      <c r="H4" s="11">
        <f>INDEX('2s.bezr.pow.'!B3:G29,MATCH(1,B4:B30,0),6)</f>
        <v>0.60000000000000009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11</v>
      </c>
      <c r="C5" s="3" t="str">
        <f>INDEX('2s.bezr.pow.'!B3:G29,MATCH(2,B4:B30,0),1)</f>
        <v>Powiat m.Rzeszów</v>
      </c>
      <c r="D5" s="5">
        <f>INDEX('2s.bezr.pow.'!B3:G29,MATCH(2,B4:B30,0),2)</f>
        <v>4.3</v>
      </c>
      <c r="E5" s="46">
        <f>INDEX('2s.bezr.pow.'!B3:G29,MATCH(2,B4:B30,0),3)</f>
        <v>4.0999999999999996</v>
      </c>
      <c r="F5" s="11">
        <f>INDEX('2s.bezr.pow.'!B3:G29,MATCH(2,B4:B30,0),4)</f>
        <v>0.20000000000000018</v>
      </c>
      <c r="G5" s="46">
        <f>INDEX('2s.bezr.pow.'!B3:G29,MATCH(2,B4:B30,0),5)</f>
        <v>4.0999999999999996</v>
      </c>
      <c r="H5" s="11">
        <f>INDEX('2s.bezr.pow.'!B3:G29,MATCH(2,B4:B30,0),6)</f>
        <v>0.20000000000000018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22</v>
      </c>
      <c r="C6" s="3" t="str">
        <f>INDEX('2s.bezr.pow.'!B3:G29,MATCH(3,B4:B30,0),1)</f>
        <v>Powiat dębicki</v>
      </c>
      <c r="D6" s="5">
        <f>INDEX('2s.bezr.pow.'!B3:G29,MATCH(3,B4:B30,0),2)</f>
        <v>4.7</v>
      </c>
      <c r="E6" s="46">
        <f>INDEX('2s.bezr.pow.'!B3:G29,MATCH(3,B4:B30,0),3)</f>
        <v>4.3</v>
      </c>
      <c r="F6" s="11">
        <f>INDEX('2s.bezr.pow.'!B3:G29,MATCH(3,B4:B30,0),4)</f>
        <v>0.40000000000000036</v>
      </c>
      <c r="G6" s="46">
        <f>INDEX('2s.bezr.pow.'!B3:G29,MATCH(3,B4:B30,0),5)</f>
        <v>4.3</v>
      </c>
      <c r="H6" s="11">
        <f>INDEX('2s.bezr.pow.'!B3:G29,MATCH(3,B4:B30,0),6)</f>
        <v>0.40000000000000036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5.4</v>
      </c>
      <c r="E7" s="46">
        <f>INDEX('2s.bezr.pow.'!B3:G29,MATCH(4,B4:B30,0),3)</f>
        <v>5.2</v>
      </c>
      <c r="F7" s="11">
        <f>INDEX('2s.bezr.pow.'!B3:G29,MATCH(4,B4:B30,0),4)</f>
        <v>0.20000000000000018</v>
      </c>
      <c r="G7" s="46">
        <f>INDEX('2s.bezr.pow.'!B3:G29,MATCH(4,B4:B30,0),5)</f>
        <v>5</v>
      </c>
      <c r="H7" s="11">
        <f>INDEX('2s.bezr.pow.'!B3:G29,MATCH(4,B4:B30,0),6)</f>
        <v>0.40000000000000036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mielecki</v>
      </c>
      <c r="D8" s="5">
        <f>INDEX('2s.bezr.pow.'!B3:G29,MATCH(5,B4:B30,0),2)</f>
        <v>5.7</v>
      </c>
      <c r="E8" s="46">
        <f>INDEX('2s.bezr.pow.'!B3:G29,MATCH(5,B4:B30,0),3)</f>
        <v>5.4</v>
      </c>
      <c r="F8" s="11">
        <f>INDEX('2s.bezr.pow.'!B3:G29,MATCH(5,B4:B30,0),4)</f>
        <v>0.29999999999999982</v>
      </c>
      <c r="G8" s="46">
        <f>INDEX('2s.bezr.pow.'!B3:G29,MATCH(5,B4:B30,0),5)</f>
        <v>5.2</v>
      </c>
      <c r="H8" s="11">
        <f>INDEX('2s.bezr.pow.'!B3:G29,MATCH(5,B4:B30,0),6)</f>
        <v>0.5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17</v>
      </c>
      <c r="C9" s="3" t="str">
        <f>INDEX('2s.bezr.pow.'!B3:G29,MATCH(6,B4:B30,0),1)</f>
        <v>Powiat stalowowolski</v>
      </c>
      <c r="D9" s="5">
        <f>INDEX('2s.bezr.pow.'!B3:G29,MATCH(6,B4:B30,0),2)</f>
        <v>5.7</v>
      </c>
      <c r="E9" s="46">
        <f>INDEX('2s.bezr.pow.'!B3:G29,MATCH(6,B4:B30,0),3)</f>
        <v>5.6</v>
      </c>
      <c r="F9" s="11">
        <f>INDEX('2s.bezr.pow.'!B3:G29,MATCH(6,B4:B30,0),4)</f>
        <v>0.10000000000000053</v>
      </c>
      <c r="G9" s="46">
        <f>INDEX('2s.bezr.pow.'!B3:G29,MATCH(6,B4:B30,0),5)</f>
        <v>5</v>
      </c>
      <c r="H9" s="11">
        <f>INDEX('2s.bezr.pow.'!B3:G29,MATCH(6,B4:B30,0),6)</f>
        <v>0.70000000000000018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7.2</v>
      </c>
      <c r="E10" s="46">
        <f>INDEX('2s.bezr.pow.'!B3:G29,MATCH(7,B4:B30,0),3)</f>
        <v>6.9</v>
      </c>
      <c r="F10" s="11">
        <f>INDEX('2s.bezr.pow.'!B3:G29,MATCH(7,B4:B30,0),4)</f>
        <v>0.29999999999999982</v>
      </c>
      <c r="G10" s="46">
        <f>INDEX('2s.bezr.pow.'!B3:G29,MATCH(7,B4:B30,0),5)</f>
        <v>7.1</v>
      </c>
      <c r="H10" s="11">
        <f>INDEX('2s.bezr.pow.'!B3:G29,MATCH(7,B4:B30,0),6)</f>
        <v>0.10000000000000053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rzeszowski</v>
      </c>
      <c r="D11" s="5">
        <f>INDEX('2s.bezr.pow.'!B3:G29,MATCH(8,B4:B30,0),2)</f>
        <v>7.6</v>
      </c>
      <c r="E11" s="46">
        <f>INDEX('2s.bezr.pow.'!B3:G29,MATCH(8,B4:B30,0),3)</f>
        <v>7.4</v>
      </c>
      <c r="F11" s="11">
        <f>INDEX('2s.bezr.pow.'!B3:G29,MATCH(8,B4:B30,0),4)</f>
        <v>0.19999999999999929</v>
      </c>
      <c r="G11" s="46">
        <f>INDEX('2s.bezr.pow.'!B3:G29,MATCH(8,B4:B30,0),5)</f>
        <v>7.3</v>
      </c>
      <c r="H11" s="11">
        <f>INDEX('2s.bezr.pow.'!B3:G29,MATCH(8,B4:B30,0),6)</f>
        <v>0.29999999999999982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12</v>
      </c>
      <c r="C12" s="3" t="str">
        <f>INDEX('2s.bezr.pow.'!B3:G29,MATCH(9,B4:B30,0),1)</f>
        <v>Powiat tarnobrzeski</v>
      </c>
      <c r="D12" s="5">
        <f>INDEX('2s.bezr.pow.'!B3:G29,MATCH(9,B4:B30,0),2)</f>
        <v>7.6</v>
      </c>
      <c r="E12" s="46">
        <f>INDEX('2s.bezr.pow.'!B3:G29,MATCH(9,B4:B30,0),3)</f>
        <v>7.4</v>
      </c>
      <c r="F12" s="11">
        <f>INDEX('2s.bezr.pow.'!B3:G29,MATCH(9,B4:B30,0),4)</f>
        <v>0.19999999999999929</v>
      </c>
      <c r="G12" s="46">
        <f>INDEX('2s.bezr.pow.'!B3:G29,MATCH(9,B4:B30,0),5)</f>
        <v>7.5</v>
      </c>
      <c r="H12" s="11">
        <f>INDEX('2s.bezr.pow.'!B3:G29,MATCH(9,B4:B30,0),6)</f>
        <v>9.9999999999999645E-2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8.3000000000000007</v>
      </c>
      <c r="E13" s="46">
        <f>INDEX('2s.bezr.pow.'!B3:G29,MATCH(10,B4:B30,0),3)</f>
        <v>7.9</v>
      </c>
      <c r="F13" s="11">
        <f>INDEX('2s.bezr.pow.'!B3:G29,MATCH(10,B4:B30,0),4)</f>
        <v>0.40000000000000036</v>
      </c>
      <c r="G13" s="46">
        <f>INDEX('2s.bezr.pow.'!B3:G29,MATCH(10,B4:B30,0),5)</f>
        <v>8</v>
      </c>
      <c r="H13" s="11">
        <f>INDEX('2s.bezr.pow.'!B3:G29,MATCH(10,B4:B30,0),6)</f>
        <v>0.30000000000000071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PODKARPACKIE</v>
      </c>
      <c r="D14" s="5">
        <f>INDEX('2s.bezr.pow.'!B3:G29,MATCH(11,B4:B30,0),2)</f>
        <v>8.6999999999999993</v>
      </c>
      <c r="E14" s="46">
        <f>INDEX('2s.bezr.pow.'!B3:G29,MATCH(11,B4:B30,0),3)</f>
        <v>8.5</v>
      </c>
      <c r="F14" s="11">
        <f>INDEX('2s.bezr.pow.'!B3:G29,MATCH(11,B4:B30,0),4)</f>
        <v>0.19999999999999929</v>
      </c>
      <c r="G14" s="46">
        <f>INDEX('2s.bezr.pow.'!B3:G29,MATCH(11,B4:B30,0),5)</f>
        <v>8.4</v>
      </c>
      <c r="H14" s="11">
        <f>INDEX('2s.bezr.pow.'!B3:G29,MATCH(11,B4:B30,0),6)</f>
        <v>0.29999999999999893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Powiat krośnieński</v>
      </c>
      <c r="D15" s="5">
        <f>INDEX('2s.bezr.pow.'!B3:G29,MATCH(12,B4:B30,0),2)</f>
        <v>8.9</v>
      </c>
      <c r="E15" s="46">
        <f>INDEX('2s.bezr.pow.'!B3:G29,MATCH(12,B4:B30,0),3)</f>
        <v>8.9</v>
      </c>
      <c r="F15" s="11">
        <f>INDEX('2s.bezr.pow.'!B3:G29,MATCH(12,B4:B30,0),4)</f>
        <v>0</v>
      </c>
      <c r="G15" s="46">
        <f>INDEX('2s.bezr.pow.'!B3:G29,MATCH(12,B4:B30,0),5)</f>
        <v>8.1</v>
      </c>
      <c r="H15" s="11">
        <f>INDEX('2s.bezr.pow.'!B3:G29,MATCH(12,B4:B30,0),6)</f>
        <v>0.80000000000000071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Powiat sanocki</v>
      </c>
      <c r="D16" s="5">
        <f>INDEX('2s.bezr.pow.'!B3:G29,MATCH(13,B4:B30,0),2)</f>
        <v>8.9</v>
      </c>
      <c r="E16" s="46">
        <f>INDEX('2s.bezr.pow.'!B3:G29,MATCH(13,B4:B30,0),3)</f>
        <v>8.6</v>
      </c>
      <c r="F16" s="11">
        <f>INDEX('2s.bezr.pow.'!B3:G29,MATCH(13,B4:B30,0),4)</f>
        <v>0.30000000000000071</v>
      </c>
      <c r="G16" s="46">
        <f>INDEX('2s.bezr.pow.'!B3:G29,MATCH(13,B4:B30,0),5)</f>
        <v>8.3000000000000007</v>
      </c>
      <c r="H16" s="11">
        <f>INDEX('2s.bezr.pow.'!B3:G29,MATCH(13,B4:B30,0),6)</f>
        <v>0.59999999999999964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5</v>
      </c>
      <c r="C17" s="3" t="str">
        <f>INDEX('2s.bezr.pow.'!B3:G29,MATCH(14,B4:B30,0),1)</f>
        <v>Powiat łańcucki</v>
      </c>
      <c r="D17" s="5">
        <f>INDEX('2s.bezr.pow.'!B3:G29,MATCH(14,B4:B30,0),2)</f>
        <v>9.1</v>
      </c>
      <c r="E17" s="46">
        <f>INDEX('2s.bezr.pow.'!B3:G29,MATCH(14,B4:B30,0),3)</f>
        <v>8.8000000000000007</v>
      </c>
      <c r="F17" s="11">
        <f>INDEX('2s.bezr.pow.'!B3:G29,MATCH(14,B4:B30,0),4)</f>
        <v>0.29999999999999893</v>
      </c>
      <c r="G17" s="46">
        <f>INDEX('2s.bezr.pow.'!B3:G29,MATCH(14,B4:B30,0),5)</f>
        <v>9.1</v>
      </c>
      <c r="H17" s="11">
        <f>INDEX('2s.bezr.pow.'!B3:G29,MATCH(14,B4:B30,0),6)</f>
        <v>0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9.6</v>
      </c>
      <c r="E18" s="46">
        <f>INDEX('2s.bezr.pow.'!B3:G29,MATCH(15,B4:B30,0),3)</f>
        <v>9.1</v>
      </c>
      <c r="F18" s="11">
        <f>INDEX('2s.bezr.pow.'!B3:G29,MATCH(15,B4:B30,0),4)</f>
        <v>0.5</v>
      </c>
      <c r="G18" s="46">
        <f>INDEX('2s.bezr.pow.'!B3:G29,MATCH(15,B4:B30,0),5)</f>
        <v>9.5</v>
      </c>
      <c r="H18" s="11">
        <f>INDEX('2s.bezr.pow.'!B3:G29,MATCH(15,B4:B30,0),6)</f>
        <v>9.9999999999999645E-2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23</v>
      </c>
      <c r="C19" s="3" t="str">
        <f>INDEX('2s.bezr.pow.'!B3:G29,MATCH(16,B4:B30,0),1)</f>
        <v>Powiat m.Przemyśl</v>
      </c>
      <c r="D19" s="5">
        <f>INDEX('2s.bezr.pow.'!B3:G29,MATCH(16,B4:B30,0),2)</f>
        <v>10.4</v>
      </c>
      <c r="E19" s="46">
        <f>INDEX('2s.bezr.pow.'!B3:G29,MATCH(16,B4:B30,0),3)</f>
        <v>10.199999999999999</v>
      </c>
      <c r="F19" s="11">
        <f>INDEX('2s.bezr.pow.'!B3:G29,MATCH(16,B4:B30,0),4)</f>
        <v>0.20000000000000107</v>
      </c>
      <c r="G19" s="46">
        <f>INDEX('2s.bezr.pow.'!B3:G29,MATCH(16,B4:B30,0),5)</f>
        <v>9.8000000000000007</v>
      </c>
      <c r="H19" s="11">
        <f>INDEX('2s.bezr.pow.'!B3:G29,MATCH(16,B4:B30,0),6)</f>
        <v>0.59999999999999964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jarosławski</v>
      </c>
      <c r="D20" s="5">
        <f>INDEX('2s.bezr.pow.'!B3:G29,MATCH(17,B4:B30,0),2)</f>
        <v>11.1</v>
      </c>
      <c r="E20" s="46">
        <f>INDEX('2s.bezr.pow.'!B3:G29,MATCH(17,B4:B30,0),3)</f>
        <v>10.8</v>
      </c>
      <c r="F20" s="11">
        <f>INDEX('2s.bezr.pow.'!B3:G29,MATCH(17,B4:B30,0),4)</f>
        <v>0.29999999999999893</v>
      </c>
      <c r="G20" s="46">
        <f>INDEX('2s.bezr.pow.'!B3:G29,MATCH(17,B4:B30,0),5)</f>
        <v>10.6</v>
      </c>
      <c r="H20" s="11">
        <f>INDEX('2s.bezr.pow.'!B3:G29,MATCH(17,B4:B30,0),6)</f>
        <v>0.5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18</v>
      </c>
      <c r="C21" s="3" t="str">
        <f>INDEX('2s.bezr.pow.'!B3:G29,MATCH(18,B4:B30,0),1)</f>
        <v>Powiat ropczycko-sędziszowski</v>
      </c>
      <c r="D21" s="5">
        <f>INDEX('2s.bezr.pow.'!B3:G29,MATCH(18,B4:B30,0),2)</f>
        <v>11.1</v>
      </c>
      <c r="E21" s="46">
        <f>INDEX('2s.bezr.pow.'!B3:G29,MATCH(18,B4:B30,0),3)</f>
        <v>10.6</v>
      </c>
      <c r="F21" s="11">
        <f>INDEX('2s.bezr.pow.'!B3:G29,MATCH(18,B4:B30,0),4)</f>
        <v>0.5</v>
      </c>
      <c r="G21" s="46">
        <f>INDEX('2s.bezr.pow.'!B3:G29,MATCH(18,B4:B30,0),5)</f>
        <v>10.4</v>
      </c>
      <c r="H21" s="11">
        <f>INDEX('2s.bezr.pow.'!B3:G29,MATCH(18,B4:B30,0),6)</f>
        <v>0.69999999999999929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8</v>
      </c>
      <c r="C22" s="3" t="str">
        <f>INDEX('2s.bezr.pow.'!B3:G29,MATCH(19,B4:B30,0),1)</f>
        <v>Powiat jasielski</v>
      </c>
      <c r="D22" s="5">
        <f>INDEX('2s.bezr.pow.'!B3:G29,MATCH(19,B4:B30,0),2)</f>
        <v>12.7</v>
      </c>
      <c r="E22" s="46">
        <f>INDEX('2s.bezr.pow.'!B3:G29,MATCH(19,B4:B30,0),3)</f>
        <v>12.3</v>
      </c>
      <c r="F22" s="11">
        <f>INDEX('2s.bezr.pow.'!B3:G29,MATCH(19,B4:B30,0),4)</f>
        <v>0.39999999999999858</v>
      </c>
      <c r="G22" s="46">
        <f>INDEX('2s.bezr.pow.'!B3:G29,MATCH(19,B4:B30,0),5)</f>
        <v>12.5</v>
      </c>
      <c r="H22" s="11">
        <f>INDEX('2s.bezr.pow.'!B3:G29,MATCH(19,B4:B30,0),6)</f>
        <v>0.19999999999999929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13</v>
      </c>
      <c r="C23" s="3" t="str">
        <f>INDEX('2s.bezr.pow.'!B3:G29,MATCH(20,B4:B30,0),1)</f>
        <v>Powiat przeworski</v>
      </c>
      <c r="D23" s="5">
        <f>INDEX('2s.bezr.pow.'!B3:G29,MATCH(20,B4:B30,0),2)</f>
        <v>13.5</v>
      </c>
      <c r="E23" s="46">
        <f>INDEX('2s.bezr.pow.'!B3:G29,MATCH(20,B4:B30,0),3)</f>
        <v>13.2</v>
      </c>
      <c r="F23" s="11">
        <f>INDEX('2s.bezr.pow.'!B3:G29,MATCH(20,B4:B30,0),4)</f>
        <v>0.30000000000000071</v>
      </c>
      <c r="G23" s="46">
        <f>INDEX('2s.bezr.pow.'!B3:G29,MATCH(20,B4:B30,0),5)</f>
        <v>12.8</v>
      </c>
      <c r="H23" s="11">
        <f>INDEX('2s.bezr.pow.'!B3:G29,MATCH(20,B4:B30,0),6)</f>
        <v>0.69999999999999929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6</v>
      </c>
      <c r="C24" s="3" t="str">
        <f>INDEX('2s.bezr.pow.'!B3:G29,MATCH(21,B4:B30,0),1)</f>
        <v>Powiat leżajski</v>
      </c>
      <c r="D24" s="5">
        <f>INDEX('2s.bezr.pow.'!B3:G29,MATCH(21,B4:B30,0),2)</f>
        <v>13.7</v>
      </c>
      <c r="E24" s="46">
        <f>INDEX('2s.bezr.pow.'!B3:G29,MATCH(21,B4:B30,0),3)</f>
        <v>13.5</v>
      </c>
      <c r="F24" s="11">
        <f>INDEX('2s.bezr.pow.'!B3:G29,MATCH(21,B4:B30,0),4)</f>
        <v>0.19999999999999929</v>
      </c>
      <c r="G24" s="46">
        <f>INDEX('2s.bezr.pow.'!B3:G29,MATCH(21,B4:B30,0),5)</f>
        <v>13.4</v>
      </c>
      <c r="H24" s="11">
        <f>INDEX('2s.bezr.pow.'!B3:G29,MATCH(21,B4:B30,0),6)</f>
        <v>0.29999999999999893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bieszczadzki</v>
      </c>
      <c r="D25" s="5">
        <f>INDEX('2s.bezr.pow.'!B3:G29,MATCH(22,B4:B30,0),2)</f>
        <v>14.9</v>
      </c>
      <c r="E25" s="46">
        <f>INDEX('2s.bezr.pow.'!B3:G29,MATCH(22,B4:B30,0),3)</f>
        <v>14.4</v>
      </c>
      <c r="F25" s="11">
        <f>INDEX('2s.bezr.pow.'!B3:G29,MATCH(22,B4:B30,0),4)</f>
        <v>0.5</v>
      </c>
      <c r="G25" s="46">
        <f>INDEX('2s.bezr.pow.'!B3:G29,MATCH(22,B4:B30,0),5)</f>
        <v>14.6</v>
      </c>
      <c r="H25" s="11">
        <f>INDEX('2s.bezr.pow.'!B3:G29,MATCH(22,B4:B30,0),6)</f>
        <v>0.30000000000000071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9</v>
      </c>
      <c r="C26" s="3" t="str">
        <f>INDEX('2s.bezr.pow.'!B3:G29,MATCH(23,B4:B30,0),1)</f>
        <v>Powiat przemyski</v>
      </c>
      <c r="D26" s="5">
        <f>INDEX('2s.bezr.pow.'!B3:G29,MATCH(23,B4:B30,0),2)</f>
        <v>15.3</v>
      </c>
      <c r="E26" s="46">
        <f>INDEX('2s.bezr.pow.'!B3:G29,MATCH(23,B4:B30,0),3)</f>
        <v>15.2</v>
      </c>
      <c r="F26" s="11">
        <f>INDEX('2s.bezr.pow.'!B3:G29,MATCH(23,B4:B30,0),4)</f>
        <v>0.10000000000000142</v>
      </c>
      <c r="G26" s="46">
        <f>INDEX('2s.bezr.pow.'!B3:G29,MATCH(23,B4:B30,0),5)</f>
        <v>14.9</v>
      </c>
      <c r="H26" s="11">
        <f>INDEX('2s.bezr.pow.'!B3:G29,MATCH(23,B4:B30,0),6)</f>
        <v>0.40000000000000036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16</v>
      </c>
      <c r="E27" s="46">
        <f>INDEX('2s.bezr.pow.'!B3:G29,MATCH(24,B4:B30,0),3)</f>
        <v>15.7</v>
      </c>
      <c r="F27" s="11">
        <f>INDEX('2s.bezr.pow.'!B3:G29,MATCH(24,B4:B30,0),4)</f>
        <v>0.30000000000000071</v>
      </c>
      <c r="G27" s="46">
        <f>INDEX('2s.bezr.pow.'!B3:G29,MATCH(24,B4:B30,0),5)</f>
        <v>16.100000000000001</v>
      </c>
      <c r="H27" s="11">
        <f>INDEX('2s.bezr.pow.'!B3:G29,MATCH(24,B4:B30,0),6)</f>
        <v>-0.10000000000000142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17</v>
      </c>
      <c r="E28" s="46">
        <f>INDEX('2s.bezr.pow.'!B3:G29,MATCH(25,B4:B30,0),3)</f>
        <v>16.399999999999999</v>
      </c>
      <c r="F28" s="11">
        <f>INDEX('2s.bezr.pow.'!B3:G29,MATCH(25,B4:B30,0),4)</f>
        <v>0.60000000000000142</v>
      </c>
      <c r="G28" s="46">
        <f>INDEX('2s.bezr.pow.'!B3:G29,MATCH(25,B4:B30,0),5)</f>
        <v>16.899999999999999</v>
      </c>
      <c r="H28" s="11">
        <f>INDEX('2s.bezr.pow.'!B3:G29,MATCH(25,B4:B30,0),6)</f>
        <v>0.10000000000000142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17.7</v>
      </c>
      <c r="E29" s="42">
        <f>INDEX('2s.bezr.pow.'!B3:G29,MATCH(26,B4:B30,0),3)</f>
        <v>17.3</v>
      </c>
      <c r="F29" s="25">
        <f>INDEX('2s.bezr.pow.'!B3:G29,MATCH(26,B4:B30,0),4)</f>
        <v>0.39999999999999858</v>
      </c>
      <c r="G29" s="42">
        <f>INDEX('2s.bezr.pow.'!B3:G29,MATCH(26,B4:B30,0),5)</f>
        <v>17.100000000000001</v>
      </c>
      <c r="H29" s="25">
        <f>INDEX('2s.bezr.pow.'!B3:G29,MATCH(26,B4:B30,0),6)</f>
        <v>0.59999999999999787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19.600000000000001</v>
      </c>
      <c r="E30" s="46">
        <f>INDEX('2s.bezr.pow.'!B3:G29,MATCH(27,B4:B30,0),3)</f>
        <v>19.3</v>
      </c>
      <c r="F30" s="5">
        <f>INDEX('2s.bezr.pow.'!B3:G29,MATCH(27,B4:B30,0),4)</f>
        <v>0.30000000000000071</v>
      </c>
      <c r="G30" s="46">
        <f>INDEX('2s.bezr.pow.'!B3:G29,MATCH(27,B4:B30,0),5)</f>
        <v>19.5</v>
      </c>
      <c r="H30" s="5">
        <f>INDEX('2s.bezr.pow.'!B3:G29,MATCH(27,B4:B30,0),6)</f>
        <v>0.10000000000000142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46"/>
  <sheetViews>
    <sheetView zoomScale="80" zoomScaleNormal="80" workbookViewId="0">
      <selection activeCell="B1" sqref="B1"/>
    </sheetView>
  </sheetViews>
  <sheetFormatPr defaultRowHeight="12" x14ac:dyDescent="0.2"/>
  <cols>
    <col min="1" max="1" width="1.5703125" style="50" customWidth="1"/>
    <col min="2" max="2" width="8.42578125" style="51" customWidth="1"/>
    <col min="3" max="3" width="9" style="51" customWidth="1"/>
    <col min="4" max="4" width="15.28515625" style="51" customWidth="1"/>
    <col min="5" max="5" width="17.710937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4.140625" style="51" customWidth="1"/>
    <col min="10" max="10" width="2.140625" style="51" customWidth="1"/>
    <col min="11" max="11" width="11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132</v>
      </c>
      <c r="E1" s="1" t="s">
        <v>52</v>
      </c>
      <c r="K1" s="2" t="s">
        <v>51</v>
      </c>
    </row>
    <row r="2" spans="1:13" ht="18" customHeight="1" x14ac:dyDescent="0.2">
      <c r="B2" s="79" t="s">
        <v>53</v>
      </c>
      <c r="C2" s="75" t="s">
        <v>1</v>
      </c>
      <c r="D2" s="64" t="s">
        <v>10</v>
      </c>
      <c r="E2" s="61" t="s">
        <v>54</v>
      </c>
      <c r="F2" s="62" t="s">
        <v>55</v>
      </c>
      <c r="G2" s="62" t="s">
        <v>56</v>
      </c>
      <c r="H2" s="63" t="s">
        <v>57</v>
      </c>
      <c r="I2" s="64" t="s">
        <v>58</v>
      </c>
      <c r="K2" s="79" t="s">
        <v>59</v>
      </c>
      <c r="L2" s="75" t="s">
        <v>60</v>
      </c>
      <c r="M2" s="64" t="s">
        <v>61</v>
      </c>
    </row>
    <row r="3" spans="1:13" x14ac:dyDescent="0.2">
      <c r="A3" s="52"/>
      <c r="B3" s="80" t="s">
        <v>62</v>
      </c>
      <c r="C3" s="76">
        <v>6.5</v>
      </c>
      <c r="D3" s="73"/>
      <c r="E3" s="86"/>
      <c r="F3" s="87"/>
      <c r="G3" s="87"/>
      <c r="H3" s="88"/>
      <c r="I3" s="89"/>
      <c r="K3" s="80" t="s">
        <v>97</v>
      </c>
      <c r="L3" s="76">
        <v>0.3</v>
      </c>
      <c r="M3" s="73"/>
    </row>
    <row r="4" spans="1:13" x14ac:dyDescent="0.2">
      <c r="A4" s="52"/>
      <c r="B4" s="80" t="s">
        <v>63</v>
      </c>
      <c r="C4" s="76">
        <v>12.2</v>
      </c>
      <c r="D4" s="73"/>
      <c r="E4" s="86"/>
      <c r="F4" s="87"/>
      <c r="G4" s="87"/>
      <c r="H4" s="88"/>
      <c r="I4" s="89"/>
      <c r="K4" s="80" t="s">
        <v>98</v>
      </c>
      <c r="L4" s="76">
        <v>6.6</v>
      </c>
      <c r="M4" s="73"/>
    </row>
    <row r="5" spans="1:13" x14ac:dyDescent="0.2">
      <c r="A5" s="52"/>
      <c r="B5" s="80" t="s">
        <v>64</v>
      </c>
      <c r="C5" s="76">
        <v>14.3</v>
      </c>
      <c r="D5" s="73"/>
      <c r="E5" s="86"/>
      <c r="F5" s="87"/>
      <c r="G5" s="87"/>
      <c r="H5" s="88"/>
      <c r="I5" s="89"/>
      <c r="K5" s="80" t="s">
        <v>99</v>
      </c>
      <c r="L5" s="76">
        <v>12.1</v>
      </c>
      <c r="M5" s="73"/>
    </row>
    <row r="6" spans="1:13" x14ac:dyDescent="0.2">
      <c r="A6" s="52"/>
      <c r="B6" s="80" t="s">
        <v>65</v>
      </c>
      <c r="C6" s="76">
        <v>16.399999999999999</v>
      </c>
      <c r="D6" s="73"/>
      <c r="E6" s="86"/>
      <c r="F6" s="87"/>
      <c r="G6" s="87"/>
      <c r="H6" s="88"/>
      <c r="I6" s="89"/>
      <c r="K6" s="80" t="s">
        <v>100</v>
      </c>
      <c r="L6" s="76">
        <v>14.2</v>
      </c>
      <c r="M6" s="73"/>
    </row>
    <row r="7" spans="1:13" x14ac:dyDescent="0.2">
      <c r="A7" s="52"/>
      <c r="B7" s="80" t="s">
        <v>66</v>
      </c>
      <c r="C7" s="77">
        <v>16</v>
      </c>
      <c r="D7" s="73"/>
      <c r="E7" s="86"/>
      <c r="F7" s="87"/>
      <c r="G7" s="87"/>
      <c r="H7" s="88"/>
      <c r="I7" s="89"/>
      <c r="K7" s="80" t="s">
        <v>101</v>
      </c>
      <c r="L7" s="76">
        <v>16.7</v>
      </c>
      <c r="M7" s="73"/>
    </row>
    <row r="8" spans="1:13" x14ac:dyDescent="0.2">
      <c r="A8" s="52"/>
      <c r="B8" s="80" t="s">
        <v>67</v>
      </c>
      <c r="C8" s="76">
        <v>14.9</v>
      </c>
      <c r="D8" s="73"/>
      <c r="E8" s="86"/>
      <c r="F8" s="87"/>
      <c r="G8" s="87"/>
      <c r="H8" s="88"/>
      <c r="I8" s="89"/>
      <c r="K8" s="80" t="s">
        <v>102</v>
      </c>
      <c r="L8" s="76">
        <v>16.100000000000001</v>
      </c>
      <c r="M8" s="73"/>
    </row>
    <row r="9" spans="1:13" x14ac:dyDescent="0.2">
      <c r="A9" s="52"/>
      <c r="B9" s="80" t="s">
        <v>68</v>
      </c>
      <c r="C9" s="76">
        <v>13.2</v>
      </c>
      <c r="D9" s="73"/>
      <c r="E9" s="86"/>
      <c r="F9" s="87"/>
      <c r="G9" s="87"/>
      <c r="H9" s="88"/>
      <c r="I9" s="89"/>
      <c r="K9" s="80" t="s">
        <v>103</v>
      </c>
      <c r="L9" s="76">
        <v>15.4</v>
      </c>
      <c r="M9" s="73"/>
    </row>
    <row r="10" spans="1:13" x14ac:dyDescent="0.2">
      <c r="A10" s="52"/>
      <c r="B10" s="80" t="s">
        <v>69</v>
      </c>
      <c r="C10" s="76">
        <v>10.3</v>
      </c>
      <c r="D10" s="73"/>
      <c r="E10" s="86"/>
      <c r="F10" s="87"/>
      <c r="G10" s="87"/>
      <c r="H10" s="88"/>
      <c r="I10" s="89"/>
      <c r="K10" s="80" t="s">
        <v>104</v>
      </c>
      <c r="L10" s="76">
        <v>13.1</v>
      </c>
      <c r="M10" s="73"/>
    </row>
    <row r="11" spans="1:13" x14ac:dyDescent="0.2">
      <c r="A11" s="52"/>
      <c r="B11" s="80" t="s">
        <v>70</v>
      </c>
      <c r="C11" s="76">
        <v>10.4</v>
      </c>
      <c r="D11" s="71">
        <v>12.4</v>
      </c>
      <c r="E11" s="65">
        <v>137367</v>
      </c>
      <c r="F11" s="54">
        <v>77793</v>
      </c>
      <c r="G11" s="54">
        <f>SUM(E11-F11)</f>
        <v>59574</v>
      </c>
      <c r="H11" s="53">
        <f t="shared" ref="H11:H37" si="0">SUM(F11)/E11*100</f>
        <v>56.631505383389026</v>
      </c>
      <c r="I11" s="66">
        <f>SUM(E11-F11)/E11*100</f>
        <v>43.368494616610974</v>
      </c>
      <c r="K11" s="80" t="s">
        <v>105</v>
      </c>
      <c r="L11" s="76">
        <v>10.7</v>
      </c>
      <c r="M11" s="73"/>
    </row>
    <row r="12" spans="1:13" x14ac:dyDescent="0.2">
      <c r="A12" s="52"/>
      <c r="B12" s="80" t="s">
        <v>71</v>
      </c>
      <c r="C12" s="76">
        <v>13.1</v>
      </c>
      <c r="D12" s="71">
        <v>14.5</v>
      </c>
      <c r="E12" s="65">
        <v>164692</v>
      </c>
      <c r="F12" s="54">
        <v>87827</v>
      </c>
      <c r="G12" s="54">
        <f t="shared" ref="G12:G36" si="1">SUM(E12-F12)</f>
        <v>76865</v>
      </c>
      <c r="H12" s="53">
        <f t="shared" si="0"/>
        <v>53.328030505428316</v>
      </c>
      <c r="I12" s="66">
        <f t="shared" ref="I12:I27" si="2">SUM(E12-F12)/E12*100</f>
        <v>46.671969494571684</v>
      </c>
      <c r="K12" s="80" t="s">
        <v>106</v>
      </c>
      <c r="L12" s="76">
        <v>11.4</v>
      </c>
      <c r="M12" s="71">
        <v>13.2</v>
      </c>
    </row>
    <row r="13" spans="1:13" x14ac:dyDescent="0.2">
      <c r="A13" s="52"/>
      <c r="B13" s="84" t="s">
        <v>72</v>
      </c>
      <c r="C13" s="82">
        <v>15.1</v>
      </c>
      <c r="D13" s="72">
        <v>15.9</v>
      </c>
      <c r="E13" s="68">
        <v>182168</v>
      </c>
      <c r="F13" s="56">
        <v>97270</v>
      </c>
      <c r="G13" s="56">
        <f t="shared" si="1"/>
        <v>84898</v>
      </c>
      <c r="H13" s="55">
        <f t="shared" si="0"/>
        <v>53.395766545167099</v>
      </c>
      <c r="I13" s="67">
        <f t="shared" si="2"/>
        <v>46.604233454832901</v>
      </c>
      <c r="K13" s="80" t="s">
        <v>107</v>
      </c>
      <c r="L13" s="76">
        <v>13.7</v>
      </c>
      <c r="M13" s="71">
        <v>15.1</v>
      </c>
    </row>
    <row r="14" spans="1:13" x14ac:dyDescent="0.2">
      <c r="A14" s="52"/>
      <c r="B14" s="84" t="s">
        <v>73</v>
      </c>
      <c r="C14" s="82">
        <v>17.5</v>
      </c>
      <c r="D14" s="72">
        <v>17.3</v>
      </c>
      <c r="E14" s="68">
        <v>195173</v>
      </c>
      <c r="F14" s="56">
        <v>100472</v>
      </c>
      <c r="G14" s="56">
        <f t="shared" si="1"/>
        <v>94701</v>
      </c>
      <c r="H14" s="55">
        <f t="shared" si="0"/>
        <v>51.478431955239714</v>
      </c>
      <c r="I14" s="67">
        <f t="shared" si="2"/>
        <v>48.521568044760286</v>
      </c>
      <c r="K14" s="80" t="s">
        <v>108</v>
      </c>
      <c r="L14" s="76">
        <v>15.7</v>
      </c>
      <c r="M14" s="71">
        <v>16.399999999999999</v>
      </c>
    </row>
    <row r="15" spans="1:13" x14ac:dyDescent="0.2">
      <c r="A15" s="52"/>
      <c r="B15" s="84" t="s">
        <v>74</v>
      </c>
      <c r="C15" s="83">
        <v>18</v>
      </c>
      <c r="D15" s="72">
        <v>16.899999999999999</v>
      </c>
      <c r="E15" s="68">
        <v>187519</v>
      </c>
      <c r="F15" s="56">
        <v>93772</v>
      </c>
      <c r="G15" s="56">
        <f t="shared" si="1"/>
        <v>93747</v>
      </c>
      <c r="H15" s="55">
        <f t="shared" si="0"/>
        <v>50.006665991179553</v>
      </c>
      <c r="I15" s="67">
        <f t="shared" si="2"/>
        <v>49.99333400882044</v>
      </c>
      <c r="K15" s="80" t="s">
        <v>110</v>
      </c>
      <c r="L15" s="76">
        <v>18.100000000000001</v>
      </c>
      <c r="M15" s="71">
        <v>17.8</v>
      </c>
    </row>
    <row r="16" spans="1:13" x14ac:dyDescent="0.2">
      <c r="A16" s="52"/>
      <c r="B16" s="84" t="s">
        <v>75</v>
      </c>
      <c r="C16" s="83">
        <v>20</v>
      </c>
      <c r="D16" s="72">
        <v>16.7</v>
      </c>
      <c r="E16" s="68">
        <v>182497</v>
      </c>
      <c r="F16" s="56">
        <v>92598</v>
      </c>
      <c r="G16" s="56">
        <f t="shared" si="1"/>
        <v>89899</v>
      </c>
      <c r="H16" s="55">
        <f t="shared" si="0"/>
        <v>50.739464210370578</v>
      </c>
      <c r="I16" s="67">
        <f t="shared" si="2"/>
        <v>49.260535789629415</v>
      </c>
      <c r="K16" s="80" t="s">
        <v>111</v>
      </c>
      <c r="L16" s="76">
        <v>20.6</v>
      </c>
      <c r="M16" s="71">
        <v>17.3</v>
      </c>
    </row>
    <row r="17" spans="1:13" x14ac:dyDescent="0.2">
      <c r="A17" s="52"/>
      <c r="B17" s="84" t="s">
        <v>76</v>
      </c>
      <c r="C17" s="83">
        <v>19</v>
      </c>
      <c r="D17" s="72">
        <v>19.100000000000001</v>
      </c>
      <c r="E17" s="68">
        <v>170293</v>
      </c>
      <c r="F17" s="56">
        <v>88723</v>
      </c>
      <c r="G17" s="56">
        <f t="shared" si="1"/>
        <v>81570</v>
      </c>
      <c r="H17" s="55">
        <f t="shared" si="0"/>
        <v>52.100203766449596</v>
      </c>
      <c r="I17" s="67">
        <f t="shared" si="2"/>
        <v>47.899796233550411</v>
      </c>
      <c r="K17" s="80" t="s">
        <v>109</v>
      </c>
      <c r="L17" s="76">
        <v>20.6</v>
      </c>
      <c r="M17" s="71">
        <v>19.100000000000001</v>
      </c>
    </row>
    <row r="18" spans="1:13" x14ac:dyDescent="0.2">
      <c r="A18" s="52"/>
      <c r="B18" s="84" t="s">
        <v>77</v>
      </c>
      <c r="C18" s="82">
        <v>17.600000000000001</v>
      </c>
      <c r="D18" s="72">
        <v>18.399999999999999</v>
      </c>
      <c r="E18" s="68">
        <v>163956</v>
      </c>
      <c r="F18" s="56">
        <v>87626</v>
      </c>
      <c r="G18" s="56">
        <f t="shared" si="1"/>
        <v>76330</v>
      </c>
      <c r="H18" s="55">
        <f t="shared" si="0"/>
        <v>53.444826660811437</v>
      </c>
      <c r="I18" s="67">
        <f t="shared" si="2"/>
        <v>46.555173339188563</v>
      </c>
      <c r="K18" s="80" t="s">
        <v>112</v>
      </c>
      <c r="L18" s="76">
        <v>19.399999999999999</v>
      </c>
      <c r="M18" s="71">
        <v>18.5</v>
      </c>
    </row>
    <row r="19" spans="1:13" x14ac:dyDescent="0.2">
      <c r="A19" s="52"/>
      <c r="B19" s="84" t="s">
        <v>78</v>
      </c>
      <c r="C19" s="82">
        <v>14.8</v>
      </c>
      <c r="D19" s="72">
        <v>16.399999999999999</v>
      </c>
      <c r="E19" s="68">
        <v>145246</v>
      </c>
      <c r="F19" s="56">
        <v>81490</v>
      </c>
      <c r="G19" s="56">
        <f t="shared" si="1"/>
        <v>63756</v>
      </c>
      <c r="H19" s="55">
        <f t="shared" si="0"/>
        <v>56.104815278906131</v>
      </c>
      <c r="I19" s="67">
        <f t="shared" si="2"/>
        <v>43.895184721093869</v>
      </c>
      <c r="K19" s="80" t="s">
        <v>113</v>
      </c>
      <c r="L19" s="77">
        <v>18</v>
      </c>
      <c r="M19" s="71">
        <v>16.399999999999999</v>
      </c>
    </row>
    <row r="20" spans="1:13" x14ac:dyDescent="0.2">
      <c r="A20" s="52"/>
      <c r="B20" s="84" t="s">
        <v>79</v>
      </c>
      <c r="C20" s="82">
        <v>11.2</v>
      </c>
      <c r="D20" s="72">
        <v>14.2</v>
      </c>
      <c r="E20" s="68">
        <v>126360</v>
      </c>
      <c r="F20" s="56">
        <v>73127</v>
      </c>
      <c r="G20" s="56">
        <f t="shared" si="1"/>
        <v>53233</v>
      </c>
      <c r="H20" s="55">
        <f t="shared" si="0"/>
        <v>57.871953149730928</v>
      </c>
      <c r="I20" s="67">
        <f t="shared" si="2"/>
        <v>42.128046850269072</v>
      </c>
      <c r="K20" s="80" t="s">
        <v>114</v>
      </c>
      <c r="L20" s="76">
        <v>15.1</v>
      </c>
      <c r="M20" s="71">
        <v>14.2</v>
      </c>
    </row>
    <row r="21" spans="1:13" x14ac:dyDescent="0.2">
      <c r="A21" s="52"/>
      <c r="B21" s="84" t="s">
        <v>80</v>
      </c>
      <c r="C21" s="82">
        <v>9.5</v>
      </c>
      <c r="D21" s="67">
        <v>13</v>
      </c>
      <c r="E21" s="68">
        <v>115567</v>
      </c>
      <c r="F21" s="56">
        <v>64122</v>
      </c>
      <c r="G21" s="56">
        <f t="shared" si="1"/>
        <v>51445</v>
      </c>
      <c r="H21" s="55">
        <f t="shared" si="0"/>
        <v>55.484697188643814</v>
      </c>
      <c r="I21" s="67">
        <f t="shared" si="2"/>
        <v>44.515302811356186</v>
      </c>
      <c r="K21" s="80" t="s">
        <v>115</v>
      </c>
      <c r="L21" s="76">
        <v>11.5</v>
      </c>
      <c r="M21" s="71">
        <v>14.8</v>
      </c>
    </row>
    <row r="22" spans="1:13" x14ac:dyDescent="0.2">
      <c r="A22" s="52"/>
      <c r="B22" s="84" t="s">
        <v>81</v>
      </c>
      <c r="C22" s="82">
        <v>12.1</v>
      </c>
      <c r="D22" s="72">
        <v>15.9</v>
      </c>
      <c r="E22" s="68">
        <v>141944</v>
      </c>
      <c r="F22" s="56">
        <v>71158</v>
      </c>
      <c r="G22" s="56">
        <f t="shared" si="1"/>
        <v>70786</v>
      </c>
      <c r="H22" s="55">
        <f t="shared" si="0"/>
        <v>50.131037592289914</v>
      </c>
      <c r="I22" s="67">
        <f t="shared" si="2"/>
        <v>49.868962407710086</v>
      </c>
      <c r="K22" s="80" t="s">
        <v>116</v>
      </c>
      <c r="L22" s="76">
        <v>10.4</v>
      </c>
      <c r="M22" s="66">
        <v>14</v>
      </c>
    </row>
    <row r="23" spans="1:13" x14ac:dyDescent="0.2">
      <c r="A23" s="52"/>
      <c r="B23" s="84" t="s">
        <v>82</v>
      </c>
      <c r="C23" s="82">
        <v>12.4</v>
      </c>
      <c r="D23" s="72">
        <v>15.4</v>
      </c>
      <c r="E23" s="68">
        <v>142263</v>
      </c>
      <c r="F23" s="56">
        <v>73359</v>
      </c>
      <c r="G23" s="56">
        <f t="shared" si="1"/>
        <v>68904</v>
      </c>
      <c r="H23" s="55">
        <f t="shared" si="0"/>
        <v>51.565762004175362</v>
      </c>
      <c r="I23" s="67">
        <f t="shared" si="2"/>
        <v>48.434237995824638</v>
      </c>
      <c r="K23" s="80" t="s">
        <v>117</v>
      </c>
      <c r="L23" s="76">
        <v>12.9</v>
      </c>
      <c r="M23" s="71">
        <v>16.7</v>
      </c>
    </row>
    <row r="24" spans="1:13" x14ac:dyDescent="0.2">
      <c r="A24" s="52"/>
      <c r="B24" s="80" t="s">
        <v>83</v>
      </c>
      <c r="C24" s="76">
        <v>12.5</v>
      </c>
      <c r="D24" s="71">
        <v>15.5</v>
      </c>
      <c r="E24" s="65">
        <v>146208</v>
      </c>
      <c r="F24" s="54">
        <v>77403</v>
      </c>
      <c r="G24" s="54">
        <f t="shared" si="1"/>
        <v>68805</v>
      </c>
      <c r="H24" s="53">
        <f t="shared" si="0"/>
        <v>52.940331582403154</v>
      </c>
      <c r="I24" s="66">
        <f t="shared" si="2"/>
        <v>47.059668417596853</v>
      </c>
      <c r="K24" s="80" t="s">
        <v>118</v>
      </c>
      <c r="L24" s="76">
        <v>13.1</v>
      </c>
      <c r="M24" s="66">
        <v>16</v>
      </c>
    </row>
    <row r="25" spans="1:13" x14ac:dyDescent="0.2">
      <c r="A25" s="52"/>
      <c r="B25" s="80" t="s">
        <v>84</v>
      </c>
      <c r="C25" s="76">
        <v>13.4</v>
      </c>
      <c r="D25" s="71">
        <v>16.399999999999999</v>
      </c>
      <c r="E25" s="65">
        <v>153807</v>
      </c>
      <c r="F25" s="54">
        <v>77880</v>
      </c>
      <c r="G25" s="54">
        <f t="shared" si="1"/>
        <v>75927</v>
      </c>
      <c r="H25" s="53">
        <f t="shared" si="0"/>
        <v>50.634886578634266</v>
      </c>
      <c r="I25" s="66">
        <f t="shared" si="2"/>
        <v>49.365113421365734</v>
      </c>
      <c r="K25" s="80" t="s">
        <v>119</v>
      </c>
      <c r="L25" s="76">
        <v>13.2</v>
      </c>
      <c r="M25" s="71">
        <v>16.2</v>
      </c>
    </row>
    <row r="26" spans="1:13" x14ac:dyDescent="0.2">
      <c r="A26" s="52"/>
      <c r="B26" s="80" t="s">
        <v>85</v>
      </c>
      <c r="C26" s="76">
        <v>13.4</v>
      </c>
      <c r="D26" s="71">
        <v>16.3</v>
      </c>
      <c r="E26" s="65">
        <v>154216</v>
      </c>
      <c r="F26" s="54">
        <v>77415</v>
      </c>
      <c r="G26" s="54">
        <f t="shared" si="1"/>
        <v>76801</v>
      </c>
      <c r="H26" s="53">
        <f t="shared" si="0"/>
        <v>50.19907143227681</v>
      </c>
      <c r="I26" s="66">
        <f t="shared" si="2"/>
        <v>49.800928567723197</v>
      </c>
      <c r="K26" s="80" t="s">
        <v>120</v>
      </c>
      <c r="L26" s="76">
        <v>14.2</v>
      </c>
      <c r="M26" s="71">
        <v>16.3</v>
      </c>
    </row>
    <row r="27" spans="1:13" x14ac:dyDescent="0.2">
      <c r="A27" s="52"/>
      <c r="B27" s="80" t="s">
        <v>86</v>
      </c>
      <c r="C27" s="76">
        <v>11.4</v>
      </c>
      <c r="D27" s="71">
        <v>14.6</v>
      </c>
      <c r="E27" s="65">
        <v>137932</v>
      </c>
      <c r="F27" s="54">
        <v>70305</v>
      </c>
      <c r="G27" s="54">
        <f t="shared" si="1"/>
        <v>67627</v>
      </c>
      <c r="H27" s="53">
        <f t="shared" si="0"/>
        <v>50.970768204622566</v>
      </c>
      <c r="I27" s="66">
        <f t="shared" si="2"/>
        <v>49.029231795377434</v>
      </c>
      <c r="K27" s="80" t="s">
        <v>121</v>
      </c>
      <c r="L27" s="76">
        <v>13.9</v>
      </c>
      <c r="M27" s="71">
        <v>14.8</v>
      </c>
    </row>
    <row r="28" spans="1:13" x14ac:dyDescent="0.2">
      <c r="A28" s="52"/>
      <c r="B28" s="80" t="s">
        <v>87</v>
      </c>
      <c r="C28" s="76">
        <v>9.6999999999999993</v>
      </c>
      <c r="D28" s="71">
        <v>13.2</v>
      </c>
      <c r="E28" s="68">
        <v>123514</v>
      </c>
      <c r="F28" s="56">
        <v>63579</v>
      </c>
      <c r="G28" s="56">
        <f t="shared" si="1"/>
        <v>59935</v>
      </c>
      <c r="H28" s="57">
        <f t="shared" si="0"/>
        <v>51.475136421782139</v>
      </c>
      <c r="I28" s="69">
        <f>SUM(E28-F28)/E28*100</f>
        <v>48.524863578217854</v>
      </c>
      <c r="K28" s="80" t="s">
        <v>122</v>
      </c>
      <c r="L28" s="77">
        <v>12</v>
      </c>
      <c r="M28" s="71">
        <v>15.2</v>
      </c>
    </row>
    <row r="29" spans="1:13" x14ac:dyDescent="0.2">
      <c r="A29" s="52"/>
      <c r="B29" s="80" t="s">
        <v>88</v>
      </c>
      <c r="C29" s="76">
        <v>8.1999999999999993</v>
      </c>
      <c r="D29" s="71">
        <v>11.5</v>
      </c>
      <c r="E29" s="68">
        <v>107567</v>
      </c>
      <c r="F29" s="56">
        <v>56384</v>
      </c>
      <c r="G29" s="56">
        <f>SUM(E29-F29)</f>
        <v>51183</v>
      </c>
      <c r="H29" s="57">
        <f t="shared" si="0"/>
        <v>52.417563007241995</v>
      </c>
      <c r="I29" s="69">
        <f t="shared" ref="I29:I35" si="3">SUM(E29-F29)/E29*100</f>
        <v>47.582436992758005</v>
      </c>
      <c r="K29" s="80" t="s">
        <v>123</v>
      </c>
      <c r="L29" s="77">
        <v>8.3000000000000007</v>
      </c>
      <c r="M29" s="71">
        <v>11.6</v>
      </c>
    </row>
    <row r="30" spans="1:13" x14ac:dyDescent="0.2">
      <c r="A30" s="52"/>
      <c r="B30" s="80" t="s">
        <v>89</v>
      </c>
      <c r="C30" s="76">
        <v>6.6</v>
      </c>
      <c r="D30" s="71">
        <v>9.6</v>
      </c>
      <c r="E30" s="68">
        <v>90972</v>
      </c>
      <c r="F30" s="56">
        <v>48619</v>
      </c>
      <c r="G30" s="56">
        <f t="shared" si="1"/>
        <v>42353</v>
      </c>
      <c r="H30" s="57">
        <f t="shared" si="0"/>
        <v>53.443916809567781</v>
      </c>
      <c r="I30" s="69">
        <f t="shared" si="3"/>
        <v>46.556083190432226</v>
      </c>
      <c r="K30" s="80" t="s">
        <v>124</v>
      </c>
      <c r="L30" s="76">
        <v>8.5</v>
      </c>
      <c r="M30" s="71">
        <v>11.8</v>
      </c>
    </row>
    <row r="31" spans="1:13" x14ac:dyDescent="0.2">
      <c r="A31" s="52"/>
      <c r="B31" s="80" t="s">
        <v>90</v>
      </c>
      <c r="C31" s="76">
        <v>5.8</v>
      </c>
      <c r="D31" s="71">
        <v>8.6999999999999993</v>
      </c>
      <c r="E31" s="68">
        <v>82933</v>
      </c>
      <c r="F31" s="56">
        <v>45024</v>
      </c>
      <c r="G31" s="56">
        <f t="shared" si="1"/>
        <v>37909</v>
      </c>
      <c r="H31" s="57">
        <f t="shared" si="0"/>
        <v>54.289607273341133</v>
      </c>
      <c r="I31" s="69">
        <f t="shared" si="3"/>
        <v>45.710392726658874</v>
      </c>
      <c r="K31" s="80" t="s">
        <v>125</v>
      </c>
      <c r="L31" s="76">
        <v>6.8</v>
      </c>
      <c r="M31" s="71">
        <v>9.9</v>
      </c>
    </row>
    <row r="32" spans="1:13" x14ac:dyDescent="0.2">
      <c r="A32" s="52"/>
      <c r="B32" s="80" t="s">
        <v>91</v>
      </c>
      <c r="C32" s="76">
        <v>5.2</v>
      </c>
      <c r="D32" s="71">
        <v>7.9</v>
      </c>
      <c r="E32" s="68">
        <v>75455</v>
      </c>
      <c r="F32" s="56">
        <v>40284</v>
      </c>
      <c r="G32" s="56">
        <f t="shared" si="1"/>
        <v>35171</v>
      </c>
      <c r="H32" s="57">
        <f t="shared" si="0"/>
        <v>53.388112119806507</v>
      </c>
      <c r="I32" s="69">
        <f t="shared" si="3"/>
        <v>46.611887880193493</v>
      </c>
      <c r="K32" s="80" t="s">
        <v>126</v>
      </c>
      <c r="L32" s="76">
        <v>6.1</v>
      </c>
      <c r="M32" s="66">
        <v>9</v>
      </c>
    </row>
    <row r="33" spans="1:13" x14ac:dyDescent="0.2">
      <c r="A33" s="52"/>
      <c r="B33" s="80" t="s">
        <v>92</v>
      </c>
      <c r="C33" s="76">
        <v>6.3</v>
      </c>
      <c r="D33" s="71">
        <v>9.1</v>
      </c>
      <c r="E33" s="68">
        <v>87326</v>
      </c>
      <c r="F33" s="56">
        <v>46036</v>
      </c>
      <c r="G33" s="56">
        <f t="shared" si="1"/>
        <v>41290</v>
      </c>
      <c r="H33" s="57">
        <f t="shared" si="0"/>
        <v>52.717403751460047</v>
      </c>
      <c r="I33" s="69">
        <f t="shared" si="3"/>
        <v>47.282596248539953</v>
      </c>
      <c r="K33" s="80" t="s">
        <v>127</v>
      </c>
      <c r="L33" s="76">
        <v>5.5</v>
      </c>
      <c r="M33" s="71">
        <v>8.3000000000000007</v>
      </c>
    </row>
    <row r="34" spans="1:13" x14ac:dyDescent="0.2">
      <c r="A34" s="52"/>
      <c r="B34" s="80" t="s">
        <v>93</v>
      </c>
      <c r="C34" s="76">
        <v>5.8</v>
      </c>
      <c r="D34" s="71">
        <v>9.9</v>
      </c>
      <c r="E34" s="68">
        <v>77291</v>
      </c>
      <c r="F34" s="56">
        <v>41090</v>
      </c>
      <c r="G34" s="56">
        <f t="shared" si="1"/>
        <v>36201</v>
      </c>
      <c r="H34" s="57">
        <f t="shared" si="0"/>
        <v>53.16272269733863</v>
      </c>
      <c r="I34" s="69">
        <f t="shared" si="3"/>
        <v>46.83727730266137</v>
      </c>
      <c r="K34" s="80" t="s">
        <v>128</v>
      </c>
      <c r="L34" s="76">
        <v>6.5</v>
      </c>
      <c r="M34" s="71">
        <v>9.5</v>
      </c>
    </row>
    <row r="35" spans="1:13" x14ac:dyDescent="0.2">
      <c r="A35" s="52"/>
      <c r="B35" s="80" t="s">
        <v>94</v>
      </c>
      <c r="C35" s="76">
        <v>5.2</v>
      </c>
      <c r="D35" s="71">
        <v>8.8000000000000007</v>
      </c>
      <c r="E35" s="68">
        <v>69046</v>
      </c>
      <c r="F35" s="56">
        <v>36088</v>
      </c>
      <c r="G35" s="56">
        <f t="shared" si="1"/>
        <v>32958</v>
      </c>
      <c r="H35" s="57">
        <f t="shared" si="0"/>
        <v>52.266604872114243</v>
      </c>
      <c r="I35" s="69">
        <f t="shared" si="3"/>
        <v>47.733395127885757</v>
      </c>
      <c r="K35" s="80" t="s">
        <v>129</v>
      </c>
      <c r="L35" s="76">
        <v>5.9</v>
      </c>
      <c r="M35" s="71">
        <v>10.1</v>
      </c>
    </row>
    <row r="36" spans="1:13" x14ac:dyDescent="0.2">
      <c r="A36" s="52"/>
      <c r="B36" s="80" t="s">
        <v>95</v>
      </c>
      <c r="C36" s="77">
        <v>5.0999999999999996</v>
      </c>
      <c r="D36" s="71">
        <v>8.6</v>
      </c>
      <c r="E36" s="68">
        <v>67653</v>
      </c>
      <c r="F36" s="56">
        <v>41090</v>
      </c>
      <c r="G36" s="56">
        <f t="shared" si="1"/>
        <v>26563</v>
      </c>
      <c r="H36" s="57">
        <f t="shared" si="0"/>
        <v>60.736404889657514</v>
      </c>
      <c r="I36" s="69">
        <f>SUM(E36-F36)/E36*100</f>
        <v>39.263595110342479</v>
      </c>
      <c r="K36" s="80" t="s">
        <v>130</v>
      </c>
      <c r="L36" s="76">
        <v>5.5</v>
      </c>
      <c r="M36" s="71">
        <v>9.1999999999999993</v>
      </c>
    </row>
    <row r="37" spans="1:13" ht="12.75" thickBot="1" x14ac:dyDescent="0.25">
      <c r="B37" s="81" t="s">
        <v>96</v>
      </c>
      <c r="C37" s="78">
        <v>5.0999999999999996</v>
      </c>
      <c r="D37" s="70">
        <v>8.6999999999999993</v>
      </c>
      <c r="E37" s="92">
        <v>67336</v>
      </c>
      <c r="F37" s="93">
        <v>33994</v>
      </c>
      <c r="G37" s="93">
        <f>SUM(E37-F37)</f>
        <v>33342</v>
      </c>
      <c r="H37" s="90">
        <f t="shared" si="0"/>
        <v>50.484139242010215</v>
      </c>
      <c r="I37" s="74">
        <f>SUM(E37-F37)/E37*100</f>
        <v>49.515860757989785</v>
      </c>
      <c r="K37" s="81" t="s">
        <v>131</v>
      </c>
      <c r="L37" s="78">
        <v>5.4</v>
      </c>
      <c r="M37" s="74">
        <v>9</v>
      </c>
    </row>
    <row r="38" spans="1:13" x14ac:dyDescent="0.2">
      <c r="B38" s="51" t="s">
        <v>133</v>
      </c>
    </row>
    <row r="40" spans="1:13" x14ac:dyDescent="0.2">
      <c r="F40" s="85"/>
    </row>
    <row r="46" spans="1:13" x14ac:dyDescent="0.2">
      <c r="I46" s="9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Anna Cichoń</cp:lastModifiedBy>
  <cp:lastPrinted>2025-07-28T05:47:09Z</cp:lastPrinted>
  <dcterms:created xsi:type="dcterms:W3CDTF">2016-08-02T05:46:03Z</dcterms:created>
  <dcterms:modified xsi:type="dcterms:W3CDTF">2025-09-01T10:15:21Z</dcterms:modified>
</cp:coreProperties>
</file>